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moedrehjaelpen.sharepoint.com/sites/Frivilligafdelingensite/Delte dokumenter/Økonomi (BIJ)/Årsregnskab/2025/Ballerup/"/>
    </mc:Choice>
  </mc:AlternateContent>
  <xr:revisionPtr revIDLastSave="43" documentId="13_ncr:1_{02AF69C8-7ECF-454A-A507-EC15C194587A}" xr6:coauthVersionLast="47" xr6:coauthVersionMax="47" xr10:uidLastSave="{ABDED559-DF88-4DFF-BC5B-B4BB2F619540}"/>
  <bookViews>
    <workbookView xWindow="-120" yWindow="-120" windowWidth="29040" windowHeight="15720" tabRatio="849" activeTab="10" xr2:uid="{00000000-000D-0000-FFFF-FFFF00000000}"/>
  </bookViews>
  <sheets>
    <sheet name="Forside" sheetId="12" r:id="rId1"/>
    <sheet name="Indhold" sheetId="14" r:id="rId2"/>
    <sheet name="Påtegning" sheetId="11" r:id="rId3"/>
    <sheet name="Regnskabspraksis" sheetId="15" r:id="rId4"/>
    <sheet name="Resultat" sheetId="1" r:id="rId5"/>
    <sheet name="Balance" sheetId="22" r:id="rId6"/>
    <sheet name="Noter resultat" sheetId="8" r:id="rId7"/>
    <sheet name="Noter balance" sheetId="28" r:id="rId8"/>
    <sheet name="Vejledning" sheetId="40" r:id="rId9"/>
    <sheet name="Basisoplysninger" sheetId="20" r:id="rId10"/>
    <sheet name="Faktisk &amp; Budget" sheetId="26" r:id="rId11"/>
    <sheet name="Hjælpeberegner" sheetId="25" r:id="rId12"/>
    <sheet name="Efterposteringsark" sheetId="17" r:id="rId13"/>
    <sheet name="Egne notater" sheetId="29" r:id="rId14"/>
    <sheet name="OM LÅS" sheetId="10" state="hidden" r:id="rId15"/>
  </sheets>
  <definedNames>
    <definedName name="_xlnm.Print_Area" localSheetId="5">Balance!$A$1:$E$54</definedName>
    <definedName name="_xlnm.Print_Area" localSheetId="9">Basisoplysninger!$A$1:$G$34</definedName>
    <definedName name="_xlnm.Print_Area" localSheetId="12">Efterposteringsark!$A$1:$C$32</definedName>
    <definedName name="_xlnm.Print_Area" localSheetId="13">'Egne notater'!$A$1:$G$46</definedName>
    <definedName name="_xlnm.Print_Area" localSheetId="10">'Faktisk &amp; Budget'!$A$1:$G$168</definedName>
    <definedName name="_xlnm.Print_Area" localSheetId="0">Forside!$A$1:$F$49</definedName>
    <definedName name="_xlnm.Print_Area" localSheetId="11">Hjælpeberegner!$A$4:$C$38</definedName>
    <definedName name="_xlnm.Print_Area" localSheetId="1">Indhold!$A$1:$E$48</definedName>
    <definedName name="_xlnm.Print_Area" localSheetId="7">'Noter balance'!$A$1:$E$87</definedName>
    <definedName name="_xlnm.Print_Area" localSheetId="6">'Noter resultat'!$A$1:$H$142</definedName>
    <definedName name="_xlnm.Print_Area" localSheetId="2">Påtegning!$A$1:$F$41</definedName>
    <definedName name="_xlnm.Print_Area" localSheetId="3">Regnskabspraksis!$A$1:$E$31</definedName>
    <definedName name="_xlnm.Print_Area" localSheetId="4">Resultat!$A$1:$G$47</definedName>
    <definedName name="_xlnm.Print_Area" localSheetId="8">Vejledning!$A$1:$B$74</definedName>
    <definedName name="_xlnm.Print_Titles" localSheetId="10">'Faktisk &amp; Budget'!$1:$6</definedName>
    <definedName name="_xlnm.Print_Titles" localSheetId="7">'Noter balance'!$1:$9</definedName>
    <definedName name="_xlnm.Print_Titles" localSheetId="6">'Noter resultat'!$1:$9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8" l="1"/>
  <c r="C93" i="8"/>
  <c r="C92" i="8"/>
  <c r="H70" i="8"/>
  <c r="F17" i="8"/>
  <c r="D17" i="8"/>
  <c r="H106" i="8"/>
  <c r="C105" i="8" l="1"/>
  <c r="C104" i="8"/>
  <c r="C103" i="8"/>
  <c r="C102" i="8"/>
  <c r="C101" i="8"/>
  <c r="F105" i="8"/>
  <c r="F104" i="8"/>
  <c r="F103" i="8"/>
  <c r="F102" i="8"/>
  <c r="D105" i="8"/>
  <c r="D104" i="8"/>
  <c r="D103" i="8"/>
  <c r="D102" i="8"/>
  <c r="F101" i="8"/>
  <c r="D101" i="8"/>
  <c r="G87" i="26"/>
  <c r="E87" i="26"/>
  <c r="B28" i="25" l="1"/>
  <c r="F69" i="8"/>
  <c r="F68" i="8"/>
  <c r="F67" i="8"/>
  <c r="D69" i="8"/>
  <c r="D68" i="8"/>
  <c r="D67" i="8"/>
  <c r="C18" i="22"/>
  <c r="D78" i="8"/>
  <c r="G34" i="26"/>
  <c r="E34" i="26"/>
  <c r="F38" i="8"/>
  <c r="D38" i="8"/>
  <c r="D35" i="8"/>
  <c r="E140" i="26"/>
  <c r="H18" i="8"/>
  <c r="G16" i="26"/>
  <c r="E16" i="26"/>
  <c r="E51" i="22"/>
  <c r="D36" i="8"/>
  <c r="D37" i="8"/>
  <c r="D70" i="8" l="1"/>
  <c r="F70" i="8"/>
  <c r="D63" i="8"/>
  <c r="F63" i="8"/>
  <c r="F62" i="8"/>
  <c r="D62" i="8"/>
  <c r="E33" i="22" l="1"/>
  <c r="E38" i="22"/>
  <c r="E40" i="22" l="1"/>
  <c r="C16" i="28"/>
  <c r="E16" i="28" s="1"/>
  <c r="H64" i="8"/>
  <c r="F35" i="8" l="1"/>
  <c r="F60" i="8"/>
  <c r="D60" i="8"/>
  <c r="E151" i="26"/>
  <c r="E153" i="26"/>
  <c r="G29" i="1" l="1"/>
  <c r="E40" i="28"/>
  <c r="E33" i="28"/>
  <c r="G108" i="26" l="1"/>
  <c r="G104" i="26"/>
  <c r="G90" i="26"/>
  <c r="G59" i="26"/>
  <c r="G37" i="26"/>
  <c r="G29" i="26"/>
  <c r="G19" i="26"/>
  <c r="A8" i="11"/>
  <c r="G109" i="26" l="1"/>
  <c r="G38" i="26"/>
  <c r="G60" i="26"/>
  <c r="A17" i="12"/>
  <c r="A4" i="1"/>
  <c r="A4" i="14"/>
  <c r="A4" i="8"/>
  <c r="A14" i="12"/>
  <c r="A4" i="22"/>
  <c r="E71" i="28"/>
  <c r="C71" i="28"/>
  <c r="E14" i="28"/>
  <c r="G110" i="26" l="1"/>
  <c r="C25" i="28"/>
  <c r="A3" i="29"/>
  <c r="A19" i="17"/>
  <c r="A7" i="17"/>
  <c r="A3" i="17"/>
  <c r="H73" i="28"/>
  <c r="C13" i="28"/>
  <c r="H72" i="28"/>
  <c r="C31" i="28"/>
  <c r="E24" i="28"/>
  <c r="E26" i="28" s="1"/>
  <c r="C8" i="28"/>
  <c r="E8" i="28" s="1"/>
  <c r="A4" i="28"/>
  <c r="A3" i="25"/>
  <c r="A3" i="26"/>
  <c r="A4" i="20"/>
  <c r="C30" i="28"/>
  <c r="C36" i="22"/>
  <c r="C37" i="22"/>
  <c r="E22" i="1"/>
  <c r="E20" i="1"/>
  <c r="E14" i="1"/>
  <c r="E13" i="1"/>
  <c r="E10" i="1"/>
  <c r="E53" i="22"/>
  <c r="C38" i="22" l="1"/>
  <c r="H74" i="28"/>
  <c r="E154" i="26"/>
  <c r="C50" i="22" l="1"/>
  <c r="C49" i="22"/>
  <c r="C48" i="22"/>
  <c r="C43" i="22"/>
  <c r="B22" i="25"/>
  <c r="C23" i="28" s="1"/>
  <c r="B21" i="25"/>
  <c r="C22" i="28" s="1"/>
  <c r="C20" i="22"/>
  <c r="C19" i="22"/>
  <c r="C17" i="22"/>
  <c r="C13" i="22"/>
  <c r="C22" i="1"/>
  <c r="C20" i="1"/>
  <c r="C14" i="1"/>
  <c r="C13" i="1"/>
  <c r="C10" i="1"/>
  <c r="F127" i="8"/>
  <c r="F126" i="8"/>
  <c r="D127" i="8"/>
  <c r="D126" i="8"/>
  <c r="F121" i="8"/>
  <c r="F120" i="8"/>
  <c r="F119" i="8"/>
  <c r="F118" i="8"/>
  <c r="F117" i="8"/>
  <c r="F116" i="8"/>
  <c r="F115" i="8"/>
  <c r="F114" i="8"/>
  <c r="F113" i="8"/>
  <c r="F112" i="8"/>
  <c r="F111" i="8"/>
  <c r="F110" i="8"/>
  <c r="D121" i="8"/>
  <c r="D120" i="8"/>
  <c r="D119" i="8"/>
  <c r="D118" i="8"/>
  <c r="D117" i="8"/>
  <c r="D116" i="8"/>
  <c r="D115" i="8"/>
  <c r="D114" i="8"/>
  <c r="D113" i="8"/>
  <c r="D112" i="8"/>
  <c r="D111" i="8"/>
  <c r="D110" i="8"/>
  <c r="F93" i="8"/>
  <c r="D93" i="8"/>
  <c r="F92" i="8"/>
  <c r="D92" i="8"/>
  <c r="F91" i="8"/>
  <c r="D91" i="8"/>
  <c r="F90" i="8"/>
  <c r="D90" i="8"/>
  <c r="F89" i="8"/>
  <c r="D89" i="8"/>
  <c r="F88" i="8"/>
  <c r="F87" i="8"/>
  <c r="D88" i="8"/>
  <c r="D87" i="8"/>
  <c r="F86" i="8"/>
  <c r="D86" i="8"/>
  <c r="F85" i="8"/>
  <c r="F84" i="8"/>
  <c r="D84" i="8"/>
  <c r="F83" i="8"/>
  <c r="D83" i="8"/>
  <c r="F82" i="8"/>
  <c r="D82" i="8"/>
  <c r="F81" i="8"/>
  <c r="D81" i="8"/>
  <c r="F80" i="8"/>
  <c r="D80" i="8"/>
  <c r="F79" i="8"/>
  <c r="D79" i="8"/>
  <c r="F78" i="8"/>
  <c r="F77" i="8"/>
  <c r="D77" i="8"/>
  <c r="F76" i="8"/>
  <c r="D76" i="8"/>
  <c r="F75" i="8"/>
  <c r="D75" i="8"/>
  <c r="F74" i="8"/>
  <c r="D74" i="8"/>
  <c r="C91" i="8"/>
  <c r="C90" i="8"/>
  <c r="C89" i="8"/>
  <c r="C88" i="8"/>
  <c r="C87" i="8"/>
  <c r="C86" i="8"/>
  <c r="C85" i="8"/>
  <c r="C84" i="8"/>
  <c r="C83" i="8"/>
  <c r="C82" i="8"/>
  <c r="C81" i="8"/>
  <c r="C80" i="8"/>
  <c r="C79" i="8"/>
  <c r="C78" i="8"/>
  <c r="C77" i="8"/>
  <c r="C76" i="8"/>
  <c r="C75" i="8"/>
  <c r="C74" i="8"/>
  <c r="F61" i="8"/>
  <c r="F59" i="8"/>
  <c r="F58" i="8"/>
  <c r="F57" i="8"/>
  <c r="F56" i="8"/>
  <c r="D57" i="8"/>
  <c r="D58" i="8"/>
  <c r="D59" i="8"/>
  <c r="D61" i="8"/>
  <c r="D56" i="8"/>
  <c r="F39" i="8"/>
  <c r="F37" i="8"/>
  <c r="F36" i="8"/>
  <c r="F34" i="8"/>
  <c r="F33" i="8"/>
  <c r="F32" i="8"/>
  <c r="F31" i="8"/>
  <c r="F30" i="8"/>
  <c r="F29" i="8"/>
  <c r="F28" i="8"/>
  <c r="F27" i="8"/>
  <c r="F26" i="8"/>
  <c r="F25" i="8"/>
  <c r="F24" i="8"/>
  <c r="F23" i="8"/>
  <c r="F22" i="8"/>
  <c r="D23" i="8"/>
  <c r="D24" i="8"/>
  <c r="D25" i="8"/>
  <c r="D26" i="8"/>
  <c r="D27" i="8"/>
  <c r="D28" i="8"/>
  <c r="D29" i="8"/>
  <c r="D30" i="8"/>
  <c r="D31" i="8"/>
  <c r="D32" i="8"/>
  <c r="D33" i="8"/>
  <c r="D34" i="8"/>
  <c r="D39" i="8"/>
  <c r="D22" i="8"/>
  <c r="F16" i="8"/>
  <c r="F15" i="8"/>
  <c r="F14" i="8"/>
  <c r="D16" i="8"/>
  <c r="D15" i="8"/>
  <c r="D14" i="8"/>
  <c r="B7" i="25"/>
  <c r="E123" i="26" s="1"/>
  <c r="E125" i="26"/>
  <c r="G114" i="26"/>
  <c r="E114" i="26"/>
  <c r="E108" i="26"/>
  <c r="E104" i="26"/>
  <c r="E90" i="26"/>
  <c r="E59" i="26"/>
  <c r="E37" i="26"/>
  <c r="E29" i="26"/>
  <c r="E19" i="26"/>
  <c r="D106" i="8" l="1"/>
  <c r="F106" i="8"/>
  <c r="D18" i="8"/>
  <c r="F18" i="8"/>
  <c r="F64" i="8"/>
  <c r="D64" i="8"/>
  <c r="E109" i="26"/>
  <c r="B35" i="25"/>
  <c r="E60" i="26"/>
  <c r="B11" i="25" s="1"/>
  <c r="E141" i="26"/>
  <c r="E38" i="26"/>
  <c r="J138" i="26" l="1"/>
  <c r="B36" i="25"/>
  <c r="C38" i="28" s="1"/>
  <c r="B13" i="25"/>
  <c r="B16" i="25" s="1"/>
  <c r="C12" i="28"/>
  <c r="C37" i="28"/>
  <c r="E110" i="26"/>
  <c r="E115" i="26" s="1"/>
  <c r="G115" i="26"/>
  <c r="D44" i="8" l="1"/>
  <c r="C17" i="28"/>
  <c r="E117" i="26"/>
  <c r="B37" i="25"/>
  <c r="B38" i="25" s="1"/>
  <c r="C40" i="28" s="1"/>
  <c r="C47" i="22" s="1"/>
  <c r="C14" i="28"/>
  <c r="C44" i="22" l="1"/>
  <c r="C39" i="28"/>
  <c r="E119" i="26"/>
  <c r="C13" i="17"/>
  <c r="C14" i="17" s="1"/>
  <c r="C11" i="17"/>
  <c r="C12" i="17" s="1"/>
  <c r="E157" i="26" l="1"/>
  <c r="C34" i="1"/>
  <c r="A4" i="11"/>
  <c r="A4" i="15"/>
  <c r="C8" i="22"/>
  <c r="E8" i="22" s="1"/>
  <c r="C14" i="22"/>
  <c r="E14" i="22"/>
  <c r="E21" i="22"/>
  <c r="C8" i="1"/>
  <c r="E6" i="26" s="1"/>
  <c r="G6" i="26" s="1"/>
  <c r="D8" i="8"/>
  <c r="A38" i="11"/>
  <c r="E35" i="11"/>
  <c r="A26" i="11"/>
  <c r="A13" i="11"/>
  <c r="A20" i="12"/>
  <c r="E26" i="11"/>
  <c r="E13" i="11"/>
  <c r="D33" i="11"/>
  <c r="D32" i="11"/>
  <c r="D29" i="11"/>
  <c r="D31" i="11"/>
  <c r="A33" i="11"/>
  <c r="A32" i="11"/>
  <c r="A31" i="11"/>
  <c r="A29" i="11"/>
  <c r="D16" i="11"/>
  <c r="A16" i="11"/>
  <c r="B30" i="25" l="1"/>
  <c r="C21" i="22"/>
  <c r="C23" i="22" s="1"/>
  <c r="J137" i="26" s="1"/>
  <c r="J139" i="26" s="1"/>
  <c r="E23" i="22"/>
  <c r="E8" i="1"/>
  <c r="G8" i="1" s="1"/>
  <c r="F128" i="8"/>
  <c r="E23" i="1" s="1"/>
  <c r="F122" i="8"/>
  <c r="E21" i="1" s="1"/>
  <c r="F40" i="8"/>
  <c r="E12" i="1"/>
  <c r="B31" i="25" l="1"/>
  <c r="C33" i="28" s="1"/>
  <c r="C46" i="22" s="1"/>
  <c r="C32" i="28"/>
  <c r="H53" i="22"/>
  <c r="E11" i="1"/>
  <c r="F42" i="8"/>
  <c r="E18" i="1"/>
  <c r="F8" i="8"/>
  <c r="G24" i="1"/>
  <c r="G15" i="1"/>
  <c r="H40" i="8"/>
  <c r="H42" i="8" s="1"/>
  <c r="H45" i="8" s="1"/>
  <c r="H128" i="8"/>
  <c r="F44" i="8" l="1"/>
  <c r="E34" i="1" s="1"/>
  <c r="E29" i="1"/>
  <c r="G26" i="1"/>
  <c r="C11" i="1"/>
  <c r="H8" i="8"/>
  <c r="F45" i="8" l="1"/>
  <c r="G30" i="1"/>
  <c r="G31" i="1" s="1"/>
  <c r="G40" i="1"/>
  <c r="D128" i="8"/>
  <c r="C23" i="1" s="1"/>
  <c r="H122" i="8" l="1"/>
  <c r="E19" i="1" l="1"/>
  <c r="C12" i="1"/>
  <c r="C15" i="1" s="1"/>
  <c r="D40" i="8"/>
  <c r="D42" i="8" s="1"/>
  <c r="D45" i="8" s="1"/>
  <c r="E15" i="1"/>
  <c r="C19" i="1"/>
  <c r="D122" i="8"/>
  <c r="C21" i="1" s="1"/>
  <c r="C18" i="1" l="1"/>
  <c r="E24" i="1"/>
  <c r="E26" i="1" s="1"/>
  <c r="E39" i="1" s="1"/>
  <c r="E30" i="1" l="1"/>
  <c r="E31" i="1" s="1"/>
  <c r="C24" i="1"/>
  <c r="C26" i="1" s="1"/>
  <c r="C29" i="1"/>
  <c r="C36" i="1" l="1"/>
  <c r="C38" i="1"/>
  <c r="J43" i="1"/>
  <c r="C30" i="1"/>
  <c r="C31" i="1" s="1"/>
  <c r="E40" i="1"/>
  <c r="C10" i="17"/>
  <c r="C9" i="17" s="1"/>
  <c r="C30" i="22" l="1"/>
  <c r="E145" i="26"/>
  <c r="B19" i="25" s="1"/>
  <c r="C39" i="1"/>
  <c r="C40" i="1" s="1"/>
  <c r="B20" i="25" l="1"/>
  <c r="E146" i="26"/>
  <c r="C31" i="22"/>
  <c r="B23" i="25" l="1"/>
  <c r="B25" i="25" s="1"/>
  <c r="C21" i="28"/>
  <c r="J44" i="1"/>
  <c r="J45" i="1" s="1"/>
  <c r="C26" i="28" l="1"/>
  <c r="C45" i="22" s="1"/>
  <c r="E147" i="26" s="1"/>
  <c r="E148" i="26" s="1"/>
  <c r="C15" i="17"/>
  <c r="C16" i="17" s="1"/>
  <c r="C21" i="17" s="1"/>
  <c r="C22" i="17" s="1"/>
  <c r="E118" i="26"/>
  <c r="E120" i="26" s="1"/>
  <c r="C32" i="22" l="1"/>
  <c r="C33" i="22" s="1"/>
  <c r="C40" i="22" s="1"/>
  <c r="C51" i="22"/>
  <c r="E158" i="26"/>
  <c r="E163" i="26" l="1"/>
  <c r="E164" i="26" s="1"/>
  <c r="E167" i="26" s="1"/>
  <c r="E166" i="26" s="1"/>
  <c r="J165" i="26" l="1"/>
  <c r="C24" i="28"/>
  <c r="C53" i="22" l="1"/>
  <c r="H54" i="22" s="1"/>
  <c r="H55" i="22" s="1"/>
  <c r="J164" i="26" l="1"/>
  <c r="J166" i="26" s="1"/>
</calcChain>
</file>

<file path=xl/sharedStrings.xml><?xml version="1.0" encoding="utf-8"?>
<sst xmlns="http://schemas.openxmlformats.org/spreadsheetml/2006/main" count="958" uniqueCount="605">
  <si>
    <t>Vejledning:</t>
  </si>
  <si>
    <t>Årstal hentes automatisk fra indtastningen i fanen "Basisoplysninger"</t>
  </si>
  <si>
    <t>Foreningens navn hentes automatisk fra indtastningen i fanen "Basisoplysninger"</t>
  </si>
  <si>
    <t>CVR-nummer hentes automatisk fra indtastningen i fanen "Basisoplysninger"</t>
  </si>
  <si>
    <t xml:space="preserve">Vejledning: </t>
  </si>
  <si>
    <t>Årstal og navn på lokalforening hentes automatisk fra indtastning under "Basisoplysninger"</t>
  </si>
  <si>
    <t>INDHOLDSFORTEGNELSE</t>
  </si>
  <si>
    <t>Du skal ikke rette i indholdsfortegnelsen, da den passer med udskriften</t>
  </si>
  <si>
    <t>Side:</t>
  </si>
  <si>
    <t>Ledelsespåtegning og frivillig revisors påtegning</t>
  </si>
  <si>
    <t>Anvendt regnskabspraksis</t>
  </si>
  <si>
    <t xml:space="preserve"> </t>
  </si>
  <si>
    <t>Resultatopgørelse</t>
  </si>
  <si>
    <t>Balance</t>
  </si>
  <si>
    <t>Noter til resultatopgørelsen</t>
  </si>
  <si>
    <t>5 - 7</t>
  </si>
  <si>
    <t>Noter til balancen</t>
  </si>
  <si>
    <t>8 - 9</t>
  </si>
  <si>
    <t>PÅTEGNING</t>
  </si>
  <si>
    <t>Ledelsespåtegning</t>
  </si>
  <si>
    <t>Årstal i teksten hentes automatisk fra indtastning under fanen "Oplysninger"</t>
  </si>
  <si>
    <t>Eventuelle bemærkninger til regnskabet fra bestyrelsen:</t>
  </si>
  <si>
    <t>Her kan skrives eventuelle bemærkninger til regnskabet fra bestyrelsen</t>
  </si>
  <si>
    <t xml:space="preserve">den, </t>
  </si>
  <si>
    <t>By og dato hentes automatisk fra indtastning under fanen "Oplysninger". (Kan også skrives i hånden, når regnskabet er printet ud)</t>
  </si>
  <si>
    <t>Her skriver formand og kasserer under på det printede regnskab</t>
  </si>
  <si>
    <t>Navne hentes automatisk fra indtastning under fanen "Oplysninger". Skriv med blokbogstaver, hvis der skrives i hånden.</t>
  </si>
  <si>
    <t>Formand</t>
  </si>
  <si>
    <t>Kasserer</t>
  </si>
  <si>
    <t>Frivillig revisors påtegning</t>
  </si>
  <si>
    <t>Eventuelle bemærkninger til regnskabet fra revisor:</t>
  </si>
  <si>
    <t>Her kan skrives eventuelle bemærkninger til regnskabet fra revisor</t>
  </si>
  <si>
    <t>den,</t>
  </si>
  <si>
    <t>Her skriver de to revisorer under i hånden på det printede regnskab</t>
  </si>
  <si>
    <t>Frivillig revisor</t>
  </si>
  <si>
    <t>Oplysninger hentes automatisk fra indtastning under fanen "Oplysninger". Skriv med blokbogstaver, hvis der skrives i hånden.</t>
  </si>
  <si>
    <t>Årsregnskabet er godkendt på generalforsamlingen den,</t>
  </si>
  <si>
    <t>Dato hentes automatisk fra indtastning under fanen "Oplysninger". (Kan også skrives i hånden, når regnskabet er printet ud)</t>
  </si>
  <si>
    <t>Her skriver dirigenten under i hånden på det printede regnskab</t>
  </si>
  <si>
    <t>Dirigent</t>
  </si>
  <si>
    <t>Side 1</t>
  </si>
  <si>
    <t>ANVENDT REGNSKABSPRAKSIS</t>
  </si>
  <si>
    <t>Du skal ikke rette i teksten, da det er en standardtekst for alle lokalforeninger</t>
  </si>
  <si>
    <t xml:space="preserve">Resultatopgørelse </t>
  </si>
  <si>
    <t>Resultatdisponering</t>
  </si>
  <si>
    <t xml:space="preserve">50 % af butiksoverskud, der overstiger 40.000 kr., tilfalder Fonden Mødrehjælpen som et obligatorisk bidrag til Fondens nationale indsatser. Opgørelsen af beløbet sker i forbindelse med udarbejdelsen af årsregnskabet, og medtages under "Resultatdisponering" i resultatopgørelsen samt under "Kortfristet gæld" i balancen. </t>
  </si>
  <si>
    <t xml:space="preserve">Ved første indregning måles aktiver og forpligtelser til kostpris. Ved indregning og måling tages hensyn til forudsigelige risici og tab, der fremkommer, inden årsregnskabet aflægges, og som be- eller afkræfter forhold, der eksisterer på balancedagen. Måling efter første indregning sker som beskrevet for hver enkelt regnskabspost nedenfor. </t>
  </si>
  <si>
    <t xml:space="preserve">Tilgodehavender værdiansættes med fradrag af nedskrivning til tabsrisici efter en individuel vurdering. Forpligtelser indregnes i balancen, når lokalforeningen som følge af en tidligere begivenhed har en retlig eller faktisk forpligtelse, og det er sandsynligt, at fremtidige økonomiske fordele vil fragå lokalforeningen, og forpligtelsens værdi kan måles pålideligt. </t>
  </si>
  <si>
    <t>Side 2</t>
  </si>
  <si>
    <t>RESULTATOPGØRELSE</t>
  </si>
  <si>
    <t>Faktisk</t>
  </si>
  <si>
    <t>Budget</t>
  </si>
  <si>
    <t>Note</t>
  </si>
  <si>
    <t>Årstal hentes automatisk fra indtastning under "Basisoplysninger"</t>
  </si>
  <si>
    <t>Indtægter</t>
  </si>
  <si>
    <t xml:space="preserve">Faktiske tal og budgettal for regnskabsåret hentes automatisk fra "Faktisk &amp; Budget". </t>
  </si>
  <si>
    <t>Medlemskontingent</t>
  </si>
  <si>
    <t>Faktiske tal for sidste år indtastes manuelt fra sidste års regnskab</t>
  </si>
  <si>
    <t>Hentes automatisk fra fanen "Noter resultat"</t>
  </si>
  <si>
    <t xml:space="preserve">Private tilskud </t>
  </si>
  <si>
    <t>Offentlige tilskud</t>
  </si>
  <si>
    <t xml:space="preserve">Renteindtægter   </t>
  </si>
  <si>
    <t>Indtægter i alt</t>
  </si>
  <si>
    <t>Beregnes automatisk</t>
  </si>
  <si>
    <t>Aktiviteter</t>
  </si>
  <si>
    <t>Kursusvirksomhed</t>
  </si>
  <si>
    <t>Drift af lokalforening</t>
  </si>
  <si>
    <t>Renter og gebyrer</t>
  </si>
  <si>
    <t>Donation til Fonden Mødrehjælpen</t>
  </si>
  <si>
    <t>Omkostninger i alt</t>
  </si>
  <si>
    <t>Resultat</t>
  </si>
  <si>
    <t>Overskudsdeling med Fonden</t>
  </si>
  <si>
    <t>Hentes automatisk fra fanen "Hjælpeberegner"</t>
  </si>
  <si>
    <t>Hensættelse til fremtidige aktiviteter</t>
  </si>
  <si>
    <t>Hensættelse til flytning/renovering af butik</t>
  </si>
  <si>
    <t xml:space="preserve">Overført resultat </t>
  </si>
  <si>
    <t>TJEK AT RESULTAT OG DISPONERING STEMMER:</t>
  </si>
  <si>
    <t>Resultat:</t>
  </si>
  <si>
    <t>Resultatdisponering i alt:</t>
  </si>
  <si>
    <t>DIFFERENCE (SKAL GIVE 0)</t>
  </si>
  <si>
    <t>Side 3</t>
  </si>
  <si>
    <t>BALANCE</t>
  </si>
  <si>
    <t>Der er ingen budgettal for balancen</t>
  </si>
  <si>
    <t>Aktiver</t>
  </si>
  <si>
    <t>Huslejedepositum</t>
  </si>
  <si>
    <t>Anlægsaktiver i alt</t>
  </si>
  <si>
    <t>Kassebeholdning</t>
  </si>
  <si>
    <t xml:space="preserve">Hentes fra fanen "Faktisk &amp; Budget" under Balanceposter </t>
  </si>
  <si>
    <t>Bankkonti</t>
  </si>
  <si>
    <t>Tilgodehavender</t>
  </si>
  <si>
    <t>Forudbetalte poster</t>
  </si>
  <si>
    <t xml:space="preserve">Omsætningsaktiver i alt </t>
  </si>
  <si>
    <t>Aktiver i alt</t>
  </si>
  <si>
    <t>Passiver</t>
  </si>
  <si>
    <t>Kapitalkonto, saldo 1/1</t>
  </si>
  <si>
    <t xml:space="preserve">Hentes fra fanen "Resultatopgørelse" under Resultatdisponering </t>
  </si>
  <si>
    <t>Overskydende egenkapital til Fonden</t>
  </si>
  <si>
    <t>Hentes automatisk fra fanen "Noter balance"</t>
  </si>
  <si>
    <t>Hentes fra fanen "Faktisk &amp; Budget" under balanceposter samt fra fanen "Resultat" fra indtastning under Resultatdisponering</t>
  </si>
  <si>
    <t xml:space="preserve">Hensættelser i alt </t>
  </si>
  <si>
    <t>Leverandørgæld</t>
  </si>
  <si>
    <t xml:space="preserve">Hentes automatisk fra fanen "Faktisk &amp; Budget" under balanceposter </t>
  </si>
  <si>
    <t>Hentes automatisk fra fanen "Noter balance" under note 6</t>
  </si>
  <si>
    <t>Hentes automatisk fra fanen "Noter balance" under note 7</t>
  </si>
  <si>
    <t>Langfristet opstartslån hos Fonden</t>
  </si>
  <si>
    <t>Hentes automatisk fra fanen "Noter balance" under note 8</t>
  </si>
  <si>
    <t>Skyldigt afdrag på opstartslån hos Fonden</t>
  </si>
  <si>
    <t>Hentes automatisk fra fanen "Noter balance" under note 9</t>
  </si>
  <si>
    <t>Skyldige omkostninger</t>
  </si>
  <si>
    <t xml:space="preserve">Hentes fra fanen "Faktisk &amp; Budget" under balanceposter </t>
  </si>
  <si>
    <t>Overførsel af ubrugte aktivitetsmidler</t>
  </si>
  <si>
    <t>Hentes automatisk fra fanen "Noter balance" under note 10</t>
  </si>
  <si>
    <t>Skyldigt depositum modtaget v/aktivitet</t>
  </si>
  <si>
    <t>Kortfristet gæld i alt</t>
  </si>
  <si>
    <t>TJEK AF AT AKTIVER OG PASSIVER STEMMER:</t>
  </si>
  <si>
    <t>AKTIVER</t>
  </si>
  <si>
    <t>Passiver i alt</t>
  </si>
  <si>
    <t>PASSIVER</t>
  </si>
  <si>
    <t>Side 4</t>
  </si>
  <si>
    <t>Lokalforenings navn og årstal hentes automatisk fra "Basisoplysninger"</t>
  </si>
  <si>
    <t>NOTER TIL RESULTATOPGØRELSEN</t>
  </si>
  <si>
    <t>Indtægter butik</t>
  </si>
  <si>
    <t>Salg i butik</t>
  </si>
  <si>
    <t>Faktisk og budget for året beregnes automatisk via formler. Tal for sidste år indtastes manuelt</t>
  </si>
  <si>
    <t>Andre indtægter</t>
  </si>
  <si>
    <t>Salg online</t>
  </si>
  <si>
    <t>Kassedifferencer</t>
  </si>
  <si>
    <t>Indtægter butik i alt</t>
  </si>
  <si>
    <t>Vask af tøj</t>
  </si>
  <si>
    <t>Emballage</t>
  </si>
  <si>
    <t>Nyanskaffelser</t>
  </si>
  <si>
    <t>Husleje</t>
  </si>
  <si>
    <t>El</t>
  </si>
  <si>
    <t>Vand</t>
  </si>
  <si>
    <t>Varme</t>
  </si>
  <si>
    <t>Kontorhold, IT, porto, telefon m.v.</t>
  </si>
  <si>
    <t>Kørsel</t>
  </si>
  <si>
    <t>Rengøring, renovation, reparation m.m.</t>
  </si>
  <si>
    <t>Frivilligpleje</t>
  </si>
  <si>
    <t>Diverse</t>
  </si>
  <si>
    <t>Flytning og istandsættelse</t>
  </si>
  <si>
    <t>Abonnementer og medlemskab</t>
  </si>
  <si>
    <t>Udgifter salg online</t>
  </si>
  <si>
    <t>Resultat butik</t>
  </si>
  <si>
    <t>Resultat butik efter overskudsdeling</t>
  </si>
  <si>
    <t>Side 5</t>
  </si>
  <si>
    <t>Private tilskud</t>
  </si>
  <si>
    <t>Privatpersoner</t>
  </si>
  <si>
    <t>Fonde og legater</t>
  </si>
  <si>
    <t>Virksomheder</t>
  </si>
  <si>
    <t>Organisationer</t>
  </si>
  <si>
    <t>Donation fra Mødrehjælpen</t>
  </si>
  <si>
    <t>Private tilskud i alt</t>
  </si>
  <si>
    <t>Aktivitet 1</t>
  </si>
  <si>
    <t>Navne på aktiviteter hentes automatisk ind i kolonne D fra dine indtastninger under "Faktisk &amp; Budget"</t>
  </si>
  <si>
    <t>Aktivitet 2</t>
  </si>
  <si>
    <t>Aktivitet 3</t>
  </si>
  <si>
    <t>Aktivitet 4</t>
  </si>
  <si>
    <t>Aktivitet 5</t>
  </si>
  <si>
    <t>Aktivitet 6</t>
  </si>
  <si>
    <t>Aktivitet 7</t>
  </si>
  <si>
    <t>Aktivitet 8</t>
  </si>
  <si>
    <t>Aktivitet 9</t>
  </si>
  <si>
    <t>Aktivitet 10</t>
  </si>
  <si>
    <t>Aktivitet 11</t>
  </si>
  <si>
    <t>Aktivitet 12</t>
  </si>
  <si>
    <t>Aktivitet 13</t>
  </si>
  <si>
    <t>Aktivitet 14</t>
  </si>
  <si>
    <t>Aktivitet 15</t>
  </si>
  <si>
    <t>Aktivitet 16</t>
  </si>
  <si>
    <t>Aktivitet 17</t>
  </si>
  <si>
    <t>Aktivitet 18</t>
  </si>
  <si>
    <t>Aktivitet 19</t>
  </si>
  <si>
    <t>Aktivitet 20</t>
  </si>
  <si>
    <t>Aktiviteter i alt</t>
  </si>
  <si>
    <t>Side 6</t>
  </si>
  <si>
    <t>Lokaleomkostninger</t>
  </si>
  <si>
    <t>Annoncer og tryksager m.m.</t>
  </si>
  <si>
    <t>Inventar, IT, kontorartikler, porto m.m.</t>
  </si>
  <si>
    <t>Møde- og rejseudgifter</t>
  </si>
  <si>
    <t>Repræsentation</t>
  </si>
  <si>
    <t>Faglitteratur</t>
  </si>
  <si>
    <t>Kontingenter</t>
  </si>
  <si>
    <t>Kurser</t>
  </si>
  <si>
    <t>Drift af lokalforening i alt</t>
  </si>
  <si>
    <t xml:space="preserve">Donation til Fonden </t>
  </si>
  <si>
    <t>Donation til aktivitetspulje</t>
  </si>
  <si>
    <t>Donation til Fondens nationale indsatser</t>
  </si>
  <si>
    <t>Donation til Fonden i alt</t>
  </si>
  <si>
    <t>Side 7</t>
  </si>
  <si>
    <t>NOTER TIL BALANCEN</t>
  </si>
  <si>
    <t>Resultat af butiksdrift før overskudsdeling</t>
  </si>
  <si>
    <t>Faktisk og budget hentes automatisk fra "Hjælpeberegner". Sidste år indtastes fra sidste års regnskab</t>
  </si>
  <si>
    <t xml:space="preserve">Fast bundfradrag </t>
  </si>
  <si>
    <t>Butiksoverskud der overstiger 40.000 kr.</t>
  </si>
  <si>
    <t>50 % overskudsdeling med Fonden</t>
  </si>
  <si>
    <t>Overskudsdeling med Fonden i alt</t>
  </si>
  <si>
    <t>Faktisk hentes automatisk fra "Hjælpeberegner". Sidste år indtastes fra sidste års regnskab</t>
  </si>
  <si>
    <t>Egenkapital inkl. hensættelser</t>
  </si>
  <si>
    <t>Max grænse for egenkapital</t>
  </si>
  <si>
    <t>Overskydende egenkapital  i alt</t>
  </si>
  <si>
    <t>Langfristet opstartslån pr. 1/1</t>
  </si>
  <si>
    <t>Frivilligt ekstra afdrag i løbet af året</t>
  </si>
  <si>
    <t>Skyldigt obligatorisk afdrag</t>
  </si>
  <si>
    <t>Langfristet opstartslån hos Fonden i alt</t>
  </si>
  <si>
    <t>Obligatorisk afdrag på (10 % af butiksoverskud)</t>
  </si>
  <si>
    <t>Frivilligt indbetalt ekstra afdrag i løbet af året</t>
  </si>
  <si>
    <t>Regulering af afdrag der overstiger restgæld</t>
  </si>
  <si>
    <t>Skyldigt afdrag på opstartslån hos Fonden  i alt</t>
  </si>
  <si>
    <t>Side 8</t>
  </si>
  <si>
    <t>Her specifieres de øremærkede aktivitetsmidler, som er bogført på finanskonto "6845 Overførsel af ubrugte aktivitetsmidler"</t>
  </si>
  <si>
    <t>Tekst og beløb indtastes manuelt. (Beløb tastes i plus)</t>
  </si>
  <si>
    <t>Øremærkede midler 4</t>
  </si>
  <si>
    <t>Øremærkede midler 5</t>
  </si>
  <si>
    <t>Øremærkede midler 6</t>
  </si>
  <si>
    <t>Øremærkede midler 7</t>
  </si>
  <si>
    <t>Øremærkede midler 8</t>
  </si>
  <si>
    <t>Øremærkede midler 9</t>
  </si>
  <si>
    <t>Øremærkede midler 10</t>
  </si>
  <si>
    <t>Øremærkede midler 11</t>
  </si>
  <si>
    <t>Øremærkede midler 12</t>
  </si>
  <si>
    <t>Øremærkede midler 13</t>
  </si>
  <si>
    <t>Øremærkede midler 14</t>
  </si>
  <si>
    <t>Øremærkede midler 15</t>
  </si>
  <si>
    <t>Øremærkede midler 16</t>
  </si>
  <si>
    <t>Øremærkede midler 17</t>
  </si>
  <si>
    <t>Øremærkede midler 18</t>
  </si>
  <si>
    <t>Øremærkede midler 19</t>
  </si>
  <si>
    <t>Øremærkede midler 20</t>
  </si>
  <si>
    <t>Overførsel af ubrugte midler i alt</t>
  </si>
  <si>
    <t>TJEK AF AT NOTE STEMMER MED BOGFØRING:</t>
  </si>
  <si>
    <t>Overførsel af ubrugte midler jf. note</t>
  </si>
  <si>
    <t>Overførsel af ubrugte midler jf. kto 6845</t>
  </si>
  <si>
    <t>Side 9</t>
  </si>
  <si>
    <t xml:space="preserve">A. </t>
  </si>
  <si>
    <t xml:space="preserve">1. </t>
  </si>
  <si>
    <t xml:space="preserve">2. </t>
  </si>
  <si>
    <t>Gå til fanebladet "Basisoplysninger".</t>
  </si>
  <si>
    <t>3.</t>
  </si>
  <si>
    <t xml:space="preserve">B. </t>
  </si>
  <si>
    <t>2.</t>
  </si>
  <si>
    <t>BRUG AF HJÆLPEBEREGNINGER</t>
  </si>
  <si>
    <t>1.</t>
  </si>
  <si>
    <t>4.</t>
  </si>
  <si>
    <t>D.</t>
  </si>
  <si>
    <t>Husk at gemme filen med dine seneste ændringer.</t>
  </si>
  <si>
    <t>F.</t>
  </si>
  <si>
    <t>VEJLEDNING VEDR. REGNSKAB</t>
  </si>
  <si>
    <t>Sådan gør du, når du skal udarbejde årsregnskabet:</t>
  </si>
  <si>
    <t>KLARGØRING AF REGNEARKET TIL ÅRSREGNSKAB</t>
  </si>
  <si>
    <t>Indtast "Regnskabsår", "Bynavn" og "CVR-nummer" i de gule felter under "Oplysninger om lokalforeningen", eller tjek at de indtastede oplysninger er korrekte.</t>
  </si>
  <si>
    <t>Indtast budgettal i F-kolonnen, eller tjek at budgettallene er korrekte.</t>
  </si>
  <si>
    <t>Gå til fanebladet "Resultat".</t>
  </si>
  <si>
    <t>5.</t>
  </si>
  <si>
    <t>Årets faktiske tal og budgettal hentes automatisk fra fanebladet "Faktisk og Budget".</t>
  </si>
  <si>
    <t>6.</t>
  </si>
  <si>
    <t>7.</t>
  </si>
  <si>
    <t>8.</t>
  </si>
  <si>
    <t>9.</t>
  </si>
  <si>
    <t>Gå til fanebladet "Noter".</t>
  </si>
  <si>
    <t>10.</t>
  </si>
  <si>
    <t>Gå til note 10 "Overførsel af ubrugte aktivitetsmidler". Konto 6845 udspeciferes manuelt i denne note, så det frem går af regnskabet, hvad de overførte aktivitetsmidler vedrører.</t>
  </si>
  <si>
    <t>C.</t>
  </si>
  <si>
    <t xml:space="preserve">Indtast regnskabstal fra sidste års regnskab i G-kolonnen, eller tjek at de indtastede tal er korrekte. </t>
  </si>
  <si>
    <t>Gå til fanebladet "Balance".</t>
  </si>
  <si>
    <t xml:space="preserve">Indtast regnskabstal fra sidste års regnskab i E-kolonnen, eller tjek at de indtastede tal er korrekte. </t>
  </si>
  <si>
    <t>Gå til fanebladet "Noter resultat".</t>
  </si>
  <si>
    <t>Indtast regnskabstal fra sidste års regnskab i H-kolonnen, eller tjek at de indtastede tal er korrekte.</t>
  </si>
  <si>
    <t>Gå til fanebladet "Noter balance".</t>
  </si>
  <si>
    <t>Indtast regnskabstal fra sidste års regnskab i E-kolonnen, eller tjek at de indtastede tal er korrekte.</t>
  </si>
  <si>
    <t>Gå til fanebladet "Hjælpeberegninger".</t>
  </si>
  <si>
    <t>Indtast beløb i cellen B31, hvis lokalforeningen frivilligt har indbetalt ekstra afdrag på opstartslånet i løbet af året</t>
  </si>
  <si>
    <t>Vælg "Ja" eller "Nej" i cellen D38, til spørgsmålet om, det er 1. eller 2. regnskabsår?</t>
  </si>
  <si>
    <t>Tjek gerne, om de fire hjælpeberegnere regner korrekt.</t>
  </si>
  <si>
    <t>Kontakt Fondens økonomiafdeling "Hvis du mener, at hjælpeberegnerne regner forkert, eller hvis du ikke forstår, hvordan den regner. (Fondens økonomiafdeling tjekker om den regner korrekt ifbm. gennemgangen af regnskabsskabelonen)</t>
  </si>
  <si>
    <t>E.</t>
  </si>
  <si>
    <t>INDSENDELSE OG GODKENDELSE AF REGNSKABSFIL</t>
  </si>
  <si>
    <t>Regnskabet er nu klar til at blive indsendt til gennemgang hos Fondens økonomiafdeling. Hele Excelfilen sendes ind. Deadline for indsendelse til gennemgang fremgår af procesplan for årsregnskab. Efter evt. rettelser genindsendes regnskabet til Fondens Økonomiafdeling.</t>
  </si>
  <si>
    <t>Regnskabet udskrives og underskrives. De faneblade fra Excel-filen, der skal bruges i det færdige regnskab, er markeret med pink farve i skabelonen. (Vælg fx "Udskriv hel projektmappe" side 1-11)</t>
  </si>
  <si>
    <r>
      <rPr>
        <b/>
        <sz val="10"/>
        <color theme="1"/>
        <rFont val="Open Sans"/>
        <family val="2"/>
      </rPr>
      <t>- Underskrevet referat</t>
    </r>
    <r>
      <rPr>
        <sz val="10"/>
        <color theme="1"/>
        <rFont val="Open Sans"/>
        <family val="2"/>
      </rPr>
      <t xml:space="preserve"> med </t>
    </r>
    <r>
      <rPr>
        <b/>
        <sz val="10"/>
        <color theme="1"/>
        <rFont val="Open Sans"/>
        <family val="2"/>
      </rPr>
      <t xml:space="preserve">godkendt årsberetning </t>
    </r>
    <r>
      <rPr>
        <sz val="10"/>
        <color theme="1"/>
        <rFont val="Open Sans"/>
        <family val="2"/>
      </rPr>
      <t>vedlagt som bilag (NB! referat underskrives af formand og dirigent jf. punkt 8.7 i lokalforeningens vedtægter)</t>
    </r>
  </si>
  <si>
    <t>Gå til fanebladet "Efterposteringsark".</t>
  </si>
  <si>
    <t>G.</t>
  </si>
  <si>
    <t>ÅRSKØRSEL I E-CONOMIC</t>
  </si>
  <si>
    <t>Når regnskab er godkendt og efterposteringer er bogført ind i E-conomic, foretages afstemning mellem årsregnskabet og E-conomic.</t>
  </si>
  <si>
    <t>Herefter foretages årskørsel i E-conomic.</t>
  </si>
  <si>
    <t>Lokalforenings navn og årstal hentes automatisk fra indtastninger under "Oplysninger om lokalforeningen"</t>
  </si>
  <si>
    <t xml:space="preserve">BASISOPLYSNINGER </t>
  </si>
  <si>
    <t>Indtast oplysningerne i de gule felter i skemaerne:</t>
  </si>
  <si>
    <t>Emne</t>
  </si>
  <si>
    <t>Oplysninger</t>
  </si>
  <si>
    <t>Regnskabsår</t>
  </si>
  <si>
    <t>Indtast årstal. Rettes automatisk til andre steder i skabelonen.</t>
  </si>
  <si>
    <t>Bynavn</t>
  </si>
  <si>
    <r>
      <t>Skriv gerne bynavnet med</t>
    </r>
    <r>
      <rPr>
        <b/>
        <i/>
        <sz val="10"/>
        <rFont val="Open Sans"/>
        <family val="2"/>
      </rPr>
      <t xml:space="preserve"> store bogstaver</t>
    </r>
    <r>
      <rPr>
        <i/>
        <sz val="10"/>
        <rFont val="Open Sans"/>
        <family val="2"/>
      </rPr>
      <t>. Rettes automatisk til andre steder i skabelonen.</t>
    </r>
  </si>
  <si>
    <t>CVR-nummer</t>
  </si>
  <si>
    <t>Indtast CVR-nummer, der automatisk rettes til på forsiden</t>
  </si>
  <si>
    <t>Frivillig revisor 1</t>
  </si>
  <si>
    <t>Frivillig revisor 2</t>
  </si>
  <si>
    <t xml:space="preserve">Dirigent </t>
  </si>
  <si>
    <t>Fornavn og efternavn</t>
  </si>
  <si>
    <t xml:space="preserve"> Oplysningerne hentes automatisk fra de gule felter til påtegningen. Efterlad felterne tomme, hvis du i stedet skriver oplysningere i hånden på det udskrevne regnskab. </t>
  </si>
  <si>
    <t>Vej og nummer</t>
  </si>
  <si>
    <t>Postnummer og by</t>
  </si>
  <si>
    <t>Evt. email eller mobilnr.</t>
  </si>
  <si>
    <t>By underskrift</t>
  </si>
  <si>
    <t>Dato underskrift</t>
  </si>
  <si>
    <t>FAKTISKE TAL &amp; BUDGETTAL</t>
  </si>
  <si>
    <t>FAKTISK</t>
  </si>
  <si>
    <t>BUDGET</t>
  </si>
  <si>
    <t>Omsætning</t>
  </si>
  <si>
    <t>Budgettal indtastes ved udarbejdelsen af budgettet</t>
  </si>
  <si>
    <t>Alle tal skal indtastes med debet-/kreditfortegn i de markerede felter. Dvs.:</t>
  </si>
  <si>
    <r>
      <t xml:space="preserve">* </t>
    </r>
    <r>
      <rPr>
        <b/>
        <i/>
        <u/>
        <sz val="14"/>
        <rFont val="Open Sans"/>
        <family val="2"/>
      </rPr>
      <t>Indtægter</t>
    </r>
    <r>
      <rPr>
        <i/>
        <sz val="14"/>
        <rFont val="Open Sans"/>
        <family val="2"/>
      </rPr>
      <t>: Indtastes med minustegn (-) foran tallet</t>
    </r>
  </si>
  <si>
    <r>
      <t xml:space="preserve">* </t>
    </r>
    <r>
      <rPr>
        <b/>
        <i/>
        <u/>
        <sz val="14"/>
        <rFont val="Open Sans"/>
        <family val="2"/>
      </rPr>
      <t>Udgifter</t>
    </r>
    <r>
      <rPr>
        <i/>
        <sz val="14"/>
        <rFont val="Open Sans"/>
        <family val="2"/>
      </rPr>
      <t>: Indtastes med plustegn (+) foran tallet</t>
    </r>
  </si>
  <si>
    <r>
      <t xml:space="preserve">* </t>
    </r>
    <r>
      <rPr>
        <b/>
        <i/>
        <u/>
        <sz val="14"/>
        <rFont val="Open Sans"/>
        <family val="2"/>
      </rPr>
      <t>Aktiver</t>
    </r>
    <r>
      <rPr>
        <i/>
        <sz val="14"/>
        <rFont val="Open Sans"/>
        <family val="2"/>
      </rPr>
      <t>: Indtastes med plustegn (+) foran tallet</t>
    </r>
  </si>
  <si>
    <r>
      <t xml:space="preserve">* </t>
    </r>
    <r>
      <rPr>
        <b/>
        <i/>
        <u/>
        <sz val="14"/>
        <rFont val="Open Sans"/>
        <family val="2"/>
      </rPr>
      <t>Passiver</t>
    </r>
    <r>
      <rPr>
        <i/>
        <sz val="14"/>
        <rFont val="Open Sans"/>
        <family val="2"/>
      </rPr>
      <t>: Indtastes med minustegn (-) foran tallet</t>
    </r>
  </si>
  <si>
    <t>Medlemskontingent i alt</t>
  </si>
  <si>
    <t xml:space="preserve">Private tilskud  </t>
  </si>
  <si>
    <t>Donation fra Fonden Mødrehjælpen</t>
  </si>
  <si>
    <t>Husk at der på denne konto skal stå det beløb, som forventes bogført på kto 6845 ved forrige års regnskab</t>
  </si>
  <si>
    <t>Lokale tilskud fra kommunen</t>
  </si>
  <si>
    <t>§ 18</t>
  </si>
  <si>
    <t xml:space="preserve">Offentlige tilskud i alt </t>
  </si>
  <si>
    <t>Renteindtægter</t>
  </si>
  <si>
    <t>Renteindtægter bank</t>
  </si>
  <si>
    <t xml:space="preserve">Renteindtægter i alt </t>
  </si>
  <si>
    <t>Omsætning i alt</t>
  </si>
  <si>
    <t>UDGIFTER</t>
  </si>
  <si>
    <t xml:space="preserve">Husleje   </t>
  </si>
  <si>
    <t>Kontorhold</t>
  </si>
  <si>
    <t>Rengøring, renovation, mv.</t>
  </si>
  <si>
    <t>Flytning/istandsættelse</t>
  </si>
  <si>
    <t>Abonnementer/medlemskaber</t>
  </si>
  <si>
    <t>Butiksresultat</t>
  </si>
  <si>
    <t>Butiksresultat i minus = Butiksoverskud. Butiksresultat i plus = Butiksunderskud</t>
  </si>
  <si>
    <t xml:space="preserve">Aktivitet 1 </t>
  </si>
  <si>
    <t>Indsæt navn på Aktivitet efter Aktivitet 1, 2, 3 osv. i felterne i C-kolonnen... (Fx Aktivitet 1 Den Rullende Kagemand)</t>
  </si>
  <si>
    <t xml:space="preserve">Aktivitet 2 </t>
  </si>
  <si>
    <t xml:space="preserve">Aktivitet 3 </t>
  </si>
  <si>
    <t xml:space="preserve">Aktivitet 4 </t>
  </si>
  <si>
    <t xml:space="preserve">Aktivitet 5 </t>
  </si>
  <si>
    <t xml:space="preserve">Aktivitet 6 </t>
  </si>
  <si>
    <t xml:space="preserve">Aktivitet 10 </t>
  </si>
  <si>
    <t xml:space="preserve">Aktivitet 11 </t>
  </si>
  <si>
    <t xml:space="preserve">Aktivitet 12 </t>
  </si>
  <si>
    <t xml:space="preserve">Kursusvirksomhed i alt </t>
  </si>
  <si>
    <t>Udgift til drift af lokalforeningen</t>
  </si>
  <si>
    <t>Her posteres både husleje, el, vand og varme (Kun lokaleomkostninger, der ikke vedrører butikken)</t>
  </si>
  <si>
    <t>Annoncer og tryksager</t>
  </si>
  <si>
    <t>Inventar og kontorhold</t>
  </si>
  <si>
    <t>Rengøring, renovation, reparation</t>
  </si>
  <si>
    <t xml:space="preserve">Drift af lokalforeningen i alt </t>
  </si>
  <si>
    <t>Bankgebyr</t>
  </si>
  <si>
    <t>Renteudgifter bank</t>
  </si>
  <si>
    <t>Renter og gebyrer i alt</t>
  </si>
  <si>
    <t xml:space="preserve">OMKOSTNINGER I ALT </t>
  </si>
  <si>
    <t>ÅRETS RESULTAT  før uddelinger</t>
  </si>
  <si>
    <t xml:space="preserve">Donation til Fonden Mødrehjælpen </t>
  </si>
  <si>
    <t xml:space="preserve">Donation til aktivitetspulje </t>
  </si>
  <si>
    <t>Her posteres frivillig donation til lokalforeningernes aktivitetspulje</t>
  </si>
  <si>
    <t>Her posteres frivillig donation til Fondens nationale indsatser</t>
  </si>
  <si>
    <t>Uddeling til Fonden Mødrehjælpen i alt</t>
  </si>
  <si>
    <t xml:space="preserve">ÅRETS RESULTAT </t>
  </si>
  <si>
    <r>
      <t xml:space="preserve">Husk at </t>
    </r>
    <r>
      <rPr>
        <b/>
        <i/>
        <u/>
        <sz val="14"/>
        <rFont val="Open Sans"/>
        <family val="2"/>
      </rPr>
      <t>Minustal</t>
    </r>
    <r>
      <rPr>
        <i/>
        <sz val="14"/>
        <rFont val="Open Sans"/>
        <family val="2"/>
      </rPr>
      <t xml:space="preserve"> = Overskud. </t>
    </r>
    <r>
      <rPr>
        <b/>
        <i/>
        <u/>
        <sz val="14"/>
        <rFont val="Open Sans"/>
        <family val="2"/>
      </rPr>
      <t>Plustal</t>
    </r>
    <r>
      <rPr>
        <i/>
        <sz val="14"/>
        <rFont val="Open Sans"/>
        <family val="2"/>
      </rPr>
      <t xml:space="preserve"> = Underskud</t>
    </r>
  </si>
  <si>
    <t>Korrektioner til resultat:</t>
  </si>
  <si>
    <t>Kommer automatisk fra hjælpeberegner</t>
  </si>
  <si>
    <t>Overskydende egenkapital</t>
  </si>
  <si>
    <t>Kommer automatisk fra hjælpeberegner. Husk at indtaste i hjælpeberegnerens gule felter.</t>
  </si>
  <si>
    <t>Afdrag (Både obligatorisk afdrag + frivilligt ekstra afdrag)</t>
  </si>
  <si>
    <t>Korrigeret resultat</t>
  </si>
  <si>
    <t>Det korrigerede resultat viser resultatet, når der er taget højde for udbetalinger af penge ifbm. betalinger til Fonden i form af overskudsdeling, overskydende egenkapital og afdrag på opstartslån.</t>
  </si>
  <si>
    <t xml:space="preserve">ANLÆGSAKTIVER  </t>
  </si>
  <si>
    <t>I balancen tastes KUN de faktiske tal for året, da der ikke er udarbejdes budget for balancen.</t>
  </si>
  <si>
    <t>Huslejedepositum og forudbetalt husleje</t>
  </si>
  <si>
    <t>OMSÆTNINGSAKTIVER</t>
  </si>
  <si>
    <t xml:space="preserve">Kassebeholdning  </t>
  </si>
  <si>
    <t>Bankkonto</t>
  </si>
  <si>
    <t>Specialkonto til lokalforeningerne</t>
  </si>
  <si>
    <t>TJEK AF AT AKTIVER HER STEMMER TIL BALANCEN I REGNSKABET:</t>
  </si>
  <si>
    <t>Omsætningsaktiver i alt</t>
  </si>
  <si>
    <t>AKTIVER JF BALANCE I REGNSKAB</t>
  </si>
  <si>
    <t xml:space="preserve">AKTIVER I ALT </t>
  </si>
  <si>
    <t>AKTIVER JF "FAKTA &amp; BUDGET"</t>
  </si>
  <si>
    <t xml:space="preserve">PASSIVER </t>
  </si>
  <si>
    <t xml:space="preserve">Egenkapital </t>
  </si>
  <si>
    <t>Kapitalkonto saldi 1/1</t>
  </si>
  <si>
    <t xml:space="preserve">Periodens resultat </t>
  </si>
  <si>
    <t>Hentes automatisk fra fanen "Resultat" under resultatdisponeringen.</t>
  </si>
  <si>
    <t>Hentes automatisk fra "hjælpeberegninger".</t>
  </si>
  <si>
    <t>EGENKAPITAL I ALT</t>
  </si>
  <si>
    <t xml:space="preserve">Hensættelser   </t>
  </si>
  <si>
    <t>Hensættelser til fremtidige aktiviteter</t>
  </si>
  <si>
    <t>Hensat fra tidligere år</t>
  </si>
  <si>
    <t>Hensættelse til flytning/renovering</t>
  </si>
  <si>
    <t>Hensættelser i alt</t>
  </si>
  <si>
    <t>GÆLD</t>
  </si>
  <si>
    <t>Kreditorer</t>
  </si>
  <si>
    <t>Overskudsdeling med Fonden Mødrehjælpen</t>
  </si>
  <si>
    <t>Hentes automatisk fra fanen "Hjælpeberegninger".</t>
  </si>
  <si>
    <t>Gæld til Fonden Mødrehjælpen - overskydende egenkapital</t>
  </si>
  <si>
    <t>Opstartslån Fonden Mødrehjælpen</t>
  </si>
  <si>
    <t>GÆLD I ALT</t>
  </si>
  <si>
    <t>TJEK AF AT PASSIVER HER STEMMER TIL BALANCEN I REGNSKABET:</t>
  </si>
  <si>
    <t xml:space="preserve">PASSIVER I ALT </t>
  </si>
  <si>
    <t>PASSIVER JF BALANCE I REGNSKAB</t>
  </si>
  <si>
    <t>PASSIVER JF "FAKTA &amp; BUDGET"</t>
  </si>
  <si>
    <t>Kontrolsum (skal give 0)</t>
  </si>
  <si>
    <t>Difference</t>
  </si>
  <si>
    <t>HJÆLPEBEREGNER</t>
  </si>
  <si>
    <t>Overføres automatisk fra Resultatdisponering under fanen "Resultat".</t>
  </si>
  <si>
    <r>
      <t>Indtast (</t>
    </r>
    <r>
      <rPr>
        <b/>
        <i/>
        <sz val="12"/>
        <rFont val="Open Sans"/>
        <family val="2"/>
      </rPr>
      <t>i plus</t>
    </r>
    <r>
      <rPr>
        <i/>
        <sz val="12"/>
        <rFont val="Open Sans"/>
        <family val="2"/>
      </rPr>
      <t>) evt. frivilligt ekstra afdrag, hvis der er indbetalt ekstraordinære afdrag i løbet af året. (Ud over det evt. skyldigt afdrag fra i sidste års regnskab)</t>
    </r>
  </si>
  <si>
    <r>
      <rPr>
        <b/>
        <i/>
        <u/>
        <sz val="12"/>
        <rFont val="Open Sans"/>
        <family val="2"/>
      </rPr>
      <t>Forklaring af regler bag hjælpeberegner</t>
    </r>
    <r>
      <rPr>
        <i/>
        <sz val="12"/>
        <rFont val="Open Sans"/>
        <family val="2"/>
      </rPr>
      <t>: Den langfristede del af opstartslånet fratrækkes evt. frivilligt indbetalte afdrag i løbet af året samt det beløb , der beregnes som skyldigt afdrag.</t>
    </r>
  </si>
  <si>
    <t xml:space="preserve"> (Bruges til note 9 i regnskabet)</t>
  </si>
  <si>
    <t>NEJ</t>
  </si>
  <si>
    <r>
      <t>Klik i cellen og vælg "</t>
    </r>
    <r>
      <rPr>
        <b/>
        <i/>
        <sz val="12"/>
        <rFont val="Open Sans"/>
        <family val="2"/>
      </rPr>
      <t>JA</t>
    </r>
    <r>
      <rPr>
        <i/>
        <sz val="12"/>
        <rFont val="Open Sans"/>
        <family val="2"/>
      </rPr>
      <t>" eller "</t>
    </r>
    <r>
      <rPr>
        <b/>
        <i/>
        <sz val="12"/>
        <rFont val="Open Sans"/>
        <family val="2"/>
      </rPr>
      <t>Nej</t>
    </r>
    <r>
      <rPr>
        <i/>
        <sz val="12"/>
        <rFont val="Open Sans"/>
        <family val="2"/>
      </rPr>
      <t>". Det påvirker beregningen af minumumsafdrag på et evt. opstartslån (10 % af butiksoverskud)</t>
    </r>
  </si>
  <si>
    <t>Det obligatoriske afdrag på opstartslån fra Fonden er 10 % af butikkens overskud</t>
  </si>
  <si>
    <t>Denne regulering sikrer, at det beregnede skyldige afdrag ikke kan overstige restgælden.</t>
  </si>
  <si>
    <r>
      <rPr>
        <b/>
        <i/>
        <u/>
        <sz val="12"/>
        <rFont val="Open Sans"/>
        <family val="2"/>
      </rPr>
      <t>Forklaring af regler bag hjælpeberegner</t>
    </r>
    <r>
      <rPr>
        <i/>
        <sz val="12"/>
        <rFont val="Open Sans"/>
        <family val="2"/>
      </rPr>
      <t xml:space="preserve">: Der skal ikke betales afdrag af opstartslån i de to første regnskabsår. Herefter skal der hvert år betales et obligatorisk afdrag på 10 % af butiksoverskudet. Dette afdrag beregnes på basis af det langfristede opstartslån fra sidste år. Hvis der er indbetalt et frivilligt afdrag i løbet af året, skal beløbet fratrækkes det obligatoriske 10 % afdrag. Det skyldige afdrag kan ikke overstige den samlede restgæld på lånet. </t>
    </r>
  </si>
  <si>
    <t>EFTERPOSTERINGSARK</t>
  </si>
  <si>
    <t xml:space="preserve">- Positive tal = debet. Negative tal = kredit. </t>
  </si>
  <si>
    <t>Finanskonto</t>
  </si>
  <si>
    <t>Forslag til bogføringstekst</t>
  </si>
  <si>
    <t>Beløb</t>
  </si>
  <si>
    <t>- Husk at bogføre hele tallet, altså også med ører på.</t>
  </si>
  <si>
    <r>
      <rPr>
        <b/>
        <sz val="10"/>
        <rFont val="Open Sans"/>
        <family val="2"/>
      </rPr>
      <t xml:space="preserve">6810 </t>
    </r>
    <r>
      <rPr>
        <sz val="10"/>
        <rFont val="Open Sans"/>
        <family val="2"/>
      </rPr>
      <t>- Overskudsdeling med Fonden Mødrehjælpen</t>
    </r>
  </si>
  <si>
    <t>Tallet kommer fra resultatdisponering under fanen "resultat". (Samme tal som fra "Hjælpeberegner)</t>
  </si>
  <si>
    <r>
      <rPr>
        <b/>
        <sz val="10"/>
        <rFont val="Open Sans"/>
        <family val="2"/>
      </rPr>
      <t>6110</t>
    </r>
    <r>
      <rPr>
        <sz val="10"/>
        <rFont val="Open Sans"/>
        <family val="2"/>
      </rPr>
      <t xml:space="preserve"> - Kapitalkonto saldi 1/1</t>
    </r>
  </si>
  <si>
    <t xml:space="preserve">Tallet kommer fra manuel indtastning i resultatdisponering under fanen "resultat". </t>
  </si>
  <si>
    <r>
      <rPr>
        <b/>
        <sz val="10"/>
        <rFont val="Open Sans"/>
        <family val="2"/>
      </rPr>
      <t>6301</t>
    </r>
    <r>
      <rPr>
        <sz val="10"/>
        <rFont val="Open Sans"/>
        <family val="2"/>
      </rPr>
      <t xml:space="preserve"> - Hensættelser til fremtidige aktiviteter</t>
    </r>
  </si>
  <si>
    <t xml:space="preserve">Hensættelse til aktivitet </t>
  </si>
  <si>
    <r>
      <rPr>
        <b/>
        <sz val="10"/>
        <rFont val="Open Sans"/>
        <family val="2"/>
      </rPr>
      <t xml:space="preserve">6110 </t>
    </r>
    <r>
      <rPr>
        <sz val="10"/>
        <rFont val="Open Sans"/>
        <family val="2"/>
      </rPr>
      <t>- Kapitalkonto saldi 1/1</t>
    </r>
  </si>
  <si>
    <t>Hensættelse til aktivitet</t>
  </si>
  <si>
    <r>
      <rPr>
        <b/>
        <sz val="10"/>
        <rFont val="Open Sans"/>
        <family val="2"/>
      </rPr>
      <t>6305</t>
    </r>
    <r>
      <rPr>
        <sz val="10"/>
        <rFont val="Open Sans"/>
        <family val="2"/>
      </rPr>
      <t xml:space="preserve"> - Hensættelse til flytning/renovering</t>
    </r>
  </si>
  <si>
    <r>
      <rPr>
        <b/>
        <sz val="10"/>
        <rFont val="Open Sans"/>
        <family val="2"/>
      </rPr>
      <t xml:space="preserve">6830  - </t>
    </r>
    <r>
      <rPr>
        <sz val="10"/>
        <rFont val="Open Sans"/>
        <family val="2"/>
      </rPr>
      <t>Gæld til Fonden Mødrehjælpen, overskydende egenkapital</t>
    </r>
  </si>
  <si>
    <t>Tallet kommer fra fanen "Hjælpeberegner".</t>
  </si>
  <si>
    <r>
      <t xml:space="preserve">6114 </t>
    </r>
    <r>
      <rPr>
        <sz val="10"/>
        <rFont val="Open Sans"/>
        <family val="2"/>
      </rPr>
      <t>- Overført overskydende egenkapital til Fonden Mødrehjælpen</t>
    </r>
  </si>
  <si>
    <t>Når efterposteringerne er bogført, afstemmes en ny saldobalance fra E-conomic til årsregnskabet. Hvis regnskab stemmer til saldobalancen kan du foretage en årsafslutning i E-conomic.</t>
  </si>
  <si>
    <t>Overskydende egenkapital til Fonden omp til kapitalkonto pr. 1/1</t>
  </si>
  <si>
    <t>Denne postering foretages i starten af det nye år, så konto "6110 Kapitalkonto saldi 1/1" kommer til at stemme med egenkapitalen pr. 1/1 kommer til at stemme med dette års regnskab.</t>
  </si>
  <si>
    <t>KASSERERS EGNE NOTER OG BEMÆRKNINGER</t>
  </si>
  <si>
    <t>På denne side kan du som kasserer skrive egne noter, beregninger og eventuelle kommentarer mv.</t>
  </si>
  <si>
    <t>For at mindske risikoen for fejlindtastninger er regnearket låst i nogen celler</t>
  </si>
  <si>
    <t>Har man behov for at låse op, følger fremgangsmåden nedenfor</t>
  </si>
  <si>
    <t>1. Når man skal låse et regneark, skal man først låse de celler op, som ikke efterfølgende skal låses:</t>
  </si>
  <si>
    <t xml:space="preserve"> - marker de celler, der ikke skal være låst</t>
  </si>
  <si>
    <t xml:space="preserve"> - højreklik</t>
  </si>
  <si>
    <t xml:space="preserve"> - vælg formatér </t>
  </si>
  <si>
    <t xml:space="preserve"> - vælg celler</t>
  </si>
  <si>
    <t xml:space="preserve"> - vælg beskyttelse</t>
  </si>
  <si>
    <t xml:space="preserve"> - fjern hakket i rubrikken "låst"</t>
  </si>
  <si>
    <t xml:space="preserve"> - vi har nu sørget for, at disse celler ikke bliver låst, når vi om lidt låser regnearket</t>
  </si>
  <si>
    <t>2. Derefter låser man regnearket:</t>
  </si>
  <si>
    <t xml:space="preserve"> - vælg gennemse</t>
  </si>
  <si>
    <t xml:space="preserve"> - vælg beskyt ark</t>
  </si>
  <si>
    <t xml:space="preserve"> - koden er 123456</t>
  </si>
  <si>
    <t xml:space="preserve"> - nu kan man kun redigere i de celler, som vi låste op under trin 1</t>
  </si>
  <si>
    <t>3. Vil man låse op igen:</t>
  </si>
  <si>
    <t xml:space="preserve"> - vælg "fjern arkbeskyttelse"</t>
  </si>
  <si>
    <t xml:space="preserve"> - nu kan man redigere over det hele</t>
  </si>
  <si>
    <t>Årsregnskabet er aflagt i overensstemmelse med Lov om fonde og visse foreninger (god regnskabsskik), herunder vedtægternes krav til regnskabsaflæggelse samt Mødrehjælpens regnskabsinstruks for lokalforeningerne, og giver efter vores opfattelse et korrekt og fyldest- gørende billede af lokalforeningens aktiver og passiver, den økonomiske stilling samt resultat.</t>
  </si>
  <si>
    <t>Udgifter til drift af butik</t>
  </si>
  <si>
    <t xml:space="preserve">Udgifter til drift af butik i alt </t>
  </si>
  <si>
    <t>Børnebutik</t>
  </si>
  <si>
    <t>Skyldigt obligatorisk afdrag (jf. note 9)</t>
  </si>
  <si>
    <t>Frivilligt indbetalt af obligatorisk afdrag</t>
  </si>
  <si>
    <t>Andel af frivilligt ekstra afdrag indbetalt i løbet af året, som er blevet indtastet under hjælpeberegner for langfristet opstartslån hos Fonden. (Max obligatorisk afdrag)</t>
  </si>
  <si>
    <t>Indtast personoplysningerne i de gule felter under "Oplysninger til regnskab", eller tjek at de     indtastede oplysninger er korrekte.</t>
  </si>
  <si>
    <t>Gå til fanebladet "Faktisk &amp; Budget".</t>
  </si>
  <si>
    <t>INDTASTNING AF ÅRETS REALISEREDE TAL</t>
  </si>
  <si>
    <t>INDTASTNING AF TAL FRA SIDSTE ÅRS REGNSKAB</t>
  </si>
  <si>
    <t>SE DET SAMLEDE REGNSKAB</t>
  </si>
  <si>
    <t xml:space="preserve">Gå til fanebladene "Resultat" og "Noter resultat". </t>
  </si>
  <si>
    <t xml:space="preserve">Her kan du se det den opstillede resultatopgørelse og de tilhørende noter. Tallene for året hentes automatisk fra fanebladet "Faktisk og Budget" og fra "Hjælpeberegner". </t>
  </si>
  <si>
    <t xml:space="preserve">Gå til fanebladene "Balance" og "Noter balance". </t>
  </si>
  <si>
    <t xml:space="preserve">Her kan du se det den opstillede balance og de tilhørende noter. Tallene for året hentes automatisk fra fanebladet "Faktisk og Budget" og fra "Hjælpeberegner". </t>
  </si>
  <si>
    <t>REVISION OG GODKENDELSE AF ÅRSREGNSKAB PÅ GENERALFORSAMLING</t>
  </si>
  <si>
    <t>Regnskabet revideres lokalt af lokalforeningens udpegede revisorer.</t>
  </si>
  <si>
    <t>Regnskabet godkendelse på årets generalforsamling.</t>
  </si>
  <si>
    <t>H.</t>
  </si>
  <si>
    <t>INDSENDELSE AF UNDERSKREVET ÅRSREGNSKAB TIL FONDEN</t>
  </si>
  <si>
    <t xml:space="preserve">Når årsregnskabet er godkendt på generalforsamlingen, indsendes følgende dokumenter til Frivilligafdelingen hos Fonden mhp. hovedbestyrelsens godkendelse af årsregnskabet: </t>
  </si>
  <si>
    <r>
      <rPr>
        <b/>
        <sz val="10"/>
        <color theme="1"/>
        <rFont val="Open Sans"/>
        <family val="2"/>
      </rPr>
      <t xml:space="preserve">- Hele årsregnskabet </t>
    </r>
    <r>
      <rPr>
        <sz val="10"/>
        <color theme="1"/>
        <rFont val="Open Sans"/>
        <family val="2"/>
      </rPr>
      <t>med underskrifter af formand, kasserer, revisorer og dirigent indsendes til Fonden enten som pdf-format eller som billeder.</t>
    </r>
  </si>
  <si>
    <r>
      <rPr>
        <b/>
        <sz val="10"/>
        <color theme="1"/>
        <rFont val="Open Sans"/>
        <family val="2"/>
      </rPr>
      <t>- Årsregnskabsfilen i Excel</t>
    </r>
    <r>
      <rPr>
        <sz val="10"/>
        <color theme="1"/>
        <rFont val="Open Sans"/>
        <family val="2"/>
      </rPr>
      <t xml:space="preserve"> (hele Excel filen) – Dette skal sendes med selv om økonomiafdelingen tidligere har haft det til gennemsyn.</t>
    </r>
  </si>
  <si>
    <t>I.</t>
  </si>
  <si>
    <t>BOGFØRING AF EFTERPOSTERINGER</t>
  </si>
  <si>
    <t>J.</t>
  </si>
  <si>
    <t>INDTASTNING AF BASISOPLYSNINGER</t>
  </si>
  <si>
    <t>K.</t>
  </si>
  <si>
    <t>Resultatdisponering i alt</t>
  </si>
  <si>
    <t>Resultatfordeling</t>
  </si>
  <si>
    <t>Øvrig foreningsdrift</t>
  </si>
  <si>
    <t>Resultatfordeling i alt</t>
  </si>
  <si>
    <t>Når regnskabet er godkendt på lokalforeningens generalforsamling, skal efterposteringerne fra regnskabet bogføres i E-conomic.</t>
  </si>
  <si>
    <t xml:space="preserve">Bogfør efterposteringerne i E-conomic pr. den 31/12 for året jf. vedledningen på siden "Efterposteringer". </t>
  </si>
  <si>
    <t>Efterposteringer bogføres, når regnskabet er færdigt og godkendt på lokalforeningens generalforsamling. Vær opmærksom på følgende:</t>
  </si>
  <si>
    <t>Årsregnskabet er aflagt efter samme regnskabspraksis som sidste år. Om den anvendte regnskabspraksis kan i øvrigt oplyses følgende:</t>
  </si>
  <si>
    <t>Indtægter består af omsætning fra butikken, medlemskontingent, donationer samt andre indtægter. Indtægter indregnes i takt med at de indtjenes. Dog periodiseres indtægter, som er øremærkede til aktiviteter i de kommende år. Periodiserede indtægtsføres i takt med at de bliver anvendt til de øremærkede formål. Omkostninger indregnes med de beløb, der vedrører regnskabsåret. Driftsmidler, inventar, kontormaskiner m.m. anskaffet i regnskabsåret er udgiftsført. Renteindtægter og -omkostninger er periodiserede.</t>
  </si>
  <si>
    <t>Skyldigt afdrag Fondens opstartslån</t>
  </si>
  <si>
    <t>Skyldigt afdrag Fondens opstartslån i alt</t>
  </si>
  <si>
    <t>Anlægsaktiver</t>
  </si>
  <si>
    <t>Omsætningsaktiver</t>
  </si>
  <si>
    <t>Hensættelser</t>
  </si>
  <si>
    <t>Øremærkede midler 3</t>
  </si>
  <si>
    <t>Øremærkede midler 2</t>
  </si>
  <si>
    <t>Overskydende egenkapital i alt</t>
  </si>
  <si>
    <t>Indtastes evt. saldoen pr. 1/1 fra e-cononmic på konto 6301 "Hensættelser til fremtidige aktiviteter".</t>
  </si>
  <si>
    <t>Indtast evt. saldoen pr. 1/1 på konto 6110 "Kapitalkonto saldi 1/1"</t>
  </si>
  <si>
    <t>Indtastes evt. saldoen pr. 1/1 fra e-cononmic på konto 6305 "Hensættelser til flytning/renovering af butik".</t>
  </si>
  <si>
    <t>Omkostninger</t>
  </si>
  <si>
    <t>Gæld</t>
  </si>
  <si>
    <t>Indtast faktiske tal i de gule felter i E-kolonnen (jf. saldobalancen 1/1-31/12 fra E-cononomic).</t>
  </si>
  <si>
    <t>Indtast evt. donation til Fonden efter årets udgang i cellen C35.</t>
  </si>
  <si>
    <t>Indtast evt. ny hensættelse til fremtidige aktiviteter i cellen C36.</t>
  </si>
  <si>
    <t>Indtast evt. ny hensættelse til flytning/renovering i cellen C37.</t>
  </si>
  <si>
    <t>Gem skabelonen under nyt navn - fx "Regnskab Korsbæk lokalforening 20xx".</t>
  </si>
  <si>
    <t>Hensat i år som er indtastet under "Resultat" under resultatdisponering. Hentes automatisk</t>
  </si>
  <si>
    <t>Årets nye hensættelse til fremtidige aktiviteter</t>
  </si>
  <si>
    <t>Årets nye hensættelse til flytning/renovering</t>
  </si>
  <si>
    <t>Navn på aktivitet</t>
  </si>
  <si>
    <t>Husk at opgøre de aktivitetsmidler, der skal overflyttes til næste år. Posteres på denne konto ved årsafslutning. Husk at udfylde note 10 under "Noter Balance".</t>
  </si>
  <si>
    <t>Husk at der også, at der ifm årsregnskab også skal stå navn på de aktiviteter, som var kun var afholdt sidste år.</t>
  </si>
  <si>
    <t>Tjek at sammenligningstallene for sidste år i note 3 (Under "Noter resultat) står ud for korrekt aktivitet.</t>
  </si>
  <si>
    <t>ISOBRO Lokalforeningspulje</t>
  </si>
  <si>
    <t>Anvendte aktivitetsmidler fra tidligere år</t>
  </si>
  <si>
    <t>Betalt butiksrengøring</t>
  </si>
  <si>
    <r>
      <rPr>
        <b/>
        <i/>
        <u/>
        <sz val="12"/>
        <rFont val="Open Sans"/>
        <family val="2"/>
      </rPr>
      <t>Forklaring af regler bag hjælpeberegner</t>
    </r>
    <r>
      <rPr>
        <i/>
        <sz val="12"/>
        <rFont val="Open Sans"/>
        <family val="2"/>
      </rPr>
      <t xml:space="preserve">: 50 % af butiksoverskud, der overstiger 40.000 kr., tilfalder Fonden Mødrehjælpen som et obligatorisk bidrag til Fondens nationale indsatser. (Dog ikke i foreningens to første år med butik, hvor der ikke beregnes overskudsdeling.) Opgørelsen sker i forbindelse med udarbejdelsen af årsregnskabet, og medtages automatisk under "Resultatdisponering" i resultatopgørelsen samt under "Kortfristet gæld" i balancen. </t>
    </r>
  </si>
  <si>
    <t>Procentandel til Fonden</t>
  </si>
  <si>
    <t>Ikke fradragsberettiget butiksrengøring</t>
  </si>
  <si>
    <t xml:space="preserve">Kapitalkonto, saldo 31/12 </t>
  </si>
  <si>
    <t>Egenkapital inklusiv hensættelser i alt</t>
  </si>
  <si>
    <t>Anvendte hensættelser fra tidligere år</t>
  </si>
  <si>
    <t>Kapitalkonto</t>
  </si>
  <si>
    <t>Egenkapital inklusiv hensættelser</t>
  </si>
  <si>
    <t xml:space="preserve">Hentes fra fanen "Faktisk &amp; Budget" under Balanceposter og fra fanen "Resultatopgørelse" under Resultatdisponering </t>
  </si>
  <si>
    <t>Anvendt hensættelse fra tidligere år</t>
  </si>
  <si>
    <t>Hensættelser til flytning/renovering af butik</t>
  </si>
  <si>
    <t>Beregnes automatisk, når sidste års tal er indtastet i E-kolonnen ibalancen.</t>
  </si>
  <si>
    <t>Beregnes automatisk. Viser resultat af butik før overskudsdeling</t>
  </si>
  <si>
    <t>Beregnes automatisk. Viser resultat af den øvrig foreningsdrift. Dvs. alt andet en butik.</t>
  </si>
  <si>
    <t>Indtastes manuelt (i plus) i C-kolonnen, hvis det besluttes at øremærke en del af overskudet til fremtidige aktiviteter. Budgettal kan indtastes i E-kolonnen.</t>
  </si>
  <si>
    <t>Indtastes manuelt (i plus) i C-kolonnen, hvis det besluttes at øremærke en del af overskudet til flytning/renovering af butik. Budgettal kan indtastes i E-kolonnen.</t>
  </si>
  <si>
    <t>Beregnes automatisk. Plus = overskud. Minus = underskud</t>
  </si>
  <si>
    <t>Aktivitetsmidler, der overføres til næste år</t>
  </si>
  <si>
    <t>Husk et max på 500 kr. pr. år, pr.  bestyrelsesmedlem og aktivitetsfrivillig. Udgifter vedr. ISOBRO bogføres på en aktivitetskonto og indgår ikke i de 500 kr.</t>
  </si>
  <si>
    <t>Husk at ISOBRO der modtages i året skal overføres til brug til næste år</t>
  </si>
  <si>
    <t>Midler der overføres til næste år</t>
  </si>
  <si>
    <t>Midler fra tidligere år</t>
  </si>
  <si>
    <t>FlexPos afrundingsdifferencer</t>
  </si>
  <si>
    <t>FlexPos systemkonto</t>
  </si>
  <si>
    <t>FlexPos mellemregning kontanter</t>
  </si>
  <si>
    <t>FlexPos mellemregning MobilePay</t>
  </si>
  <si>
    <t>FlexPos mellemregning internationale kort</t>
  </si>
  <si>
    <t>§18 midler</t>
  </si>
  <si>
    <t>Offentlige tilskud i alt</t>
  </si>
  <si>
    <t>Gebyr betalingskort/MobilePay</t>
  </si>
  <si>
    <t>Øvrige offentlige tilskud</t>
  </si>
  <si>
    <t>Overført overskydende egenkapital til Fonden Mødrehjælpen</t>
  </si>
  <si>
    <t>Overskydende egenkapital til Aktivitetspuljen</t>
  </si>
  <si>
    <t>Møder og kurser</t>
  </si>
  <si>
    <t>Faktiske tal og budgettal indtastes i de gule felter i kolonne E og G fra saldobalance i E-conomic</t>
  </si>
  <si>
    <t>Betalt rengøring af butik skal bogføres  på konto "1214 Betalt butiksrengøring"</t>
  </si>
  <si>
    <r>
      <t xml:space="preserve">Max på 500 kr. pr. år, pr. butiksfrivillig. Udgifter vedr. ISOBRO bogføres på en aktivitetskonto som en aktivitet og indgår </t>
    </r>
    <r>
      <rPr>
        <i/>
        <u/>
        <sz val="14"/>
        <rFont val="Open Sans"/>
        <family val="2"/>
      </rPr>
      <t>ikke</t>
    </r>
    <r>
      <rPr>
        <i/>
        <sz val="14"/>
        <rFont val="Open Sans"/>
        <family val="2"/>
      </rPr>
      <t xml:space="preserve"> i de 500 kr.</t>
    </r>
  </si>
  <si>
    <t>Betalt rengøring af butik max må være på 15.000 kr. pr. år. Beløb herover bogføres på konto "1553 Ikke fradragsberettiget butiksrengøring"</t>
  </si>
  <si>
    <t>Aktivitet 21</t>
  </si>
  <si>
    <t>Aktivitet 22</t>
  </si>
  <si>
    <t>Aktivitet 23</t>
  </si>
  <si>
    <t>Aktivitet 24</t>
  </si>
  <si>
    <t>Aktivitet 25</t>
  </si>
  <si>
    <t>(Noten fortsætter på næste side)</t>
  </si>
  <si>
    <t>Aktiviteter (forsat)</t>
  </si>
  <si>
    <t xml:space="preserve">Her skal du ikke indtaste tal. Beregnes automatisk ud fra dine indtastninger under "Faktisk og Budget". </t>
  </si>
  <si>
    <r>
      <rPr>
        <b/>
        <i/>
        <u/>
        <sz val="12"/>
        <rFont val="Arial"/>
        <family val="2"/>
      </rPr>
      <t>Forklaring af regler bag hjælpeberegner</t>
    </r>
    <r>
      <rPr>
        <i/>
        <sz val="12"/>
        <rFont val="Arial"/>
        <family val="2"/>
      </rPr>
      <t xml:space="preserve">: Der er fastsat en max grænse for lokalforeningens egenkapital inkl. hensættelser. Hvis max grænsen på 400.000 kr. overstiges i regnskabet, indbetales det overskydende beløb til Fonden til brug for lokalforeningernes aktivitetspulje. Maxgrænse på  400.000 kr. i 2025 og frem. </t>
    </r>
  </si>
  <si>
    <t>Det skyldige beløb er også det, der fremkommer i resultatdisponeringen.</t>
  </si>
  <si>
    <t>Lokalforeningens egenkapital inkl. eventuelle hensættelser til fremtidige aktiviteter eller til istandsættelse/flytning af butik må maksimalt udgøre 400.000 kr. ved udgangen af 2025 og frem. Overstiger egenkapital og hensættelser disse beløbsgrænser i de pågælende år, overføres det overskydende  til Fonden Mødrehjælpen til en aktivitetsfond for Mødrehjælpens lokalforeninger.</t>
  </si>
  <si>
    <t>Overskudsdeling med Fonden (jf. note 7)</t>
  </si>
  <si>
    <t>Er det 1. eller 2. regnskabsår med butik?</t>
  </si>
  <si>
    <t>Beslutter lokalforeningens bestyrelse efter årets udgang at hensætte til fremtidige aktiviteter eller flytning/istandsættelse af butik, medtages hensættelserne ligeledes under "resultatdisponering" i resultatopgørelsen samt under "Hensættelser" i balancen.</t>
  </si>
  <si>
    <r>
      <t xml:space="preserve">På denne side foretages der her automatiske beregninger , der automatisk overføres til regnskabet. Beregningerne sker på basis af dine indtastninger i de </t>
    </r>
    <r>
      <rPr>
        <b/>
        <u/>
        <sz val="12"/>
        <rFont val="Open Sans"/>
        <family val="2"/>
      </rPr>
      <t>gule felter</t>
    </r>
    <r>
      <rPr>
        <sz val="12"/>
        <rFont val="Open Sans"/>
        <family val="2"/>
      </rPr>
      <t xml:space="preserve"> herunder samt dine indtastninger under fanen "Faktisk &amp; Budget"</t>
    </r>
  </si>
  <si>
    <t>Kun relevant for lokalforeninger med opstartslån hos Fonden</t>
  </si>
  <si>
    <r>
      <t xml:space="preserve">OVERSKUDSDELING MED FONDEN </t>
    </r>
    <r>
      <rPr>
        <u/>
        <sz val="12"/>
        <rFont val="Open Sans"/>
        <family val="2"/>
      </rPr>
      <t>(Note 6 i regnskabet)</t>
    </r>
  </si>
  <si>
    <r>
      <t xml:space="preserve">OVERSKYDENDE EGENKAPITAL TIL FONDEN </t>
    </r>
    <r>
      <rPr>
        <u/>
        <sz val="12"/>
        <rFont val="Open Sans"/>
        <family val="2"/>
      </rPr>
      <t>(Note 7 i regnskabet)</t>
    </r>
  </si>
  <si>
    <r>
      <t xml:space="preserve">LANGFRISTET OPSTARTSLÅN HOS FONDEN </t>
    </r>
    <r>
      <rPr>
        <u/>
        <sz val="12"/>
        <rFont val="Open Sans"/>
        <family val="2"/>
      </rPr>
      <t>(Note 8 i regnskabet)</t>
    </r>
  </si>
  <si>
    <r>
      <t>SKYLDIGT AFDRAG PÅ OPSTARTSLÅN HOS FONDEN</t>
    </r>
    <r>
      <rPr>
        <u/>
        <sz val="12"/>
        <rFont val="Open Sans"/>
        <family val="2"/>
      </rPr>
      <t xml:space="preserve"> (Note 9 i regnskabet)</t>
    </r>
  </si>
  <si>
    <t>Oplysninger om lokalforeningen</t>
  </si>
  <si>
    <t>Oplysninger til regnskab</t>
  </si>
  <si>
    <t>Børnebutik før overskudsdeling</t>
  </si>
  <si>
    <t>BALLERUP</t>
  </si>
  <si>
    <t>Den Rullende Kagemand</t>
  </si>
  <si>
    <t>Babystartpakker</t>
  </si>
  <si>
    <t>Familiecafe</t>
  </si>
  <si>
    <t>Babycafe</t>
  </si>
  <si>
    <t>En Hjælpende Hånd</t>
  </si>
  <si>
    <t>Café for gravide</t>
  </si>
  <si>
    <t>ISOBRO LFP, frivilligpleje</t>
  </si>
  <si>
    <t>Oplevelsestur - Format Bio</t>
  </si>
  <si>
    <t>Ønsketræet</t>
  </si>
  <si>
    <t>ISOBRO - Tur til Arken</t>
  </si>
  <si>
    <t>Cirkus Baldoni</t>
  </si>
  <si>
    <t>Feddet</t>
  </si>
  <si>
    <t>Zoologisk Have</t>
  </si>
  <si>
    <t>Joan Henriksen</t>
  </si>
  <si>
    <t>Ulla Florence</t>
  </si>
  <si>
    <t>Ann-Britt Gründahl</t>
  </si>
  <si>
    <t>Dagny S Jensen</t>
  </si>
  <si>
    <t>Lone Frøsig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</si>
</sst>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_(* #,##0_);_(* \(#,##0\);_(* &quot;-&quot;??_);_(@_)"/>
    <numFmt numFmtId="167" formatCode="#,##0.0000"/>
    <numFmt numFmtId="168" formatCode="[$-406]d\.\ mmmm\ yyyy;@"/>
  </numFmts>
  <fonts count="54" x14ac:knownFonts="1">
    <font>
      <sz val="10"/>
      <name val="Arial"/>
    </font>
    <font>
      <sz val="10"/>
      <name val="Arial"/>
      <family val="2"/>
    </font>
    <font>
      <sz val="8"/>
      <name val="Arial"/>
      <family val="2"/>
    </font>
    <font>
      <b/>
      <sz val="10"/>
      <name val="Arial"/>
      <family val="2"/>
    </font>
    <font>
      <b/>
      <sz val="14"/>
      <name val="Open sans"/>
      <family val="2"/>
    </font>
    <font>
      <sz val="10"/>
      <name val="Open Sans"/>
      <family val="2"/>
    </font>
    <font>
      <b/>
      <sz val="18"/>
      <name val="Open Sans"/>
      <family val="2"/>
    </font>
    <font>
      <sz val="14"/>
      <name val="Open Sans"/>
      <family val="2"/>
    </font>
    <font>
      <b/>
      <sz val="10"/>
      <name val="Open Sans"/>
      <family val="2"/>
    </font>
    <font>
      <sz val="10"/>
      <color rgb="FFFFFF00"/>
      <name val="Open Sans"/>
      <family val="2"/>
    </font>
    <font>
      <u/>
      <sz val="10"/>
      <name val="Open Sans"/>
      <family val="2"/>
    </font>
    <font>
      <sz val="9"/>
      <name val="Open Sans"/>
      <family val="2"/>
    </font>
    <font>
      <b/>
      <sz val="12"/>
      <name val="Open Sans"/>
      <family val="2"/>
    </font>
    <font>
      <i/>
      <sz val="10"/>
      <name val="Open Sans"/>
      <family val="2"/>
    </font>
    <font>
      <sz val="12"/>
      <name val="Open Sans"/>
      <family val="2"/>
    </font>
    <font>
      <u/>
      <sz val="10"/>
      <color theme="10"/>
      <name val="Arial"/>
      <family val="2"/>
    </font>
    <font>
      <b/>
      <sz val="16"/>
      <name val="Open Sans"/>
      <family val="2"/>
    </font>
    <font>
      <u/>
      <sz val="10"/>
      <color theme="10"/>
      <name val="Open Sans"/>
      <family val="2"/>
    </font>
    <font>
      <b/>
      <sz val="14"/>
      <color theme="1"/>
      <name val="Open Sans"/>
      <family val="2"/>
    </font>
    <font>
      <i/>
      <sz val="14"/>
      <name val="Open Sans"/>
      <family val="2"/>
    </font>
    <font>
      <i/>
      <sz val="12"/>
      <name val="Open Sans"/>
      <family val="2"/>
    </font>
    <font>
      <sz val="14"/>
      <color theme="1"/>
      <name val="Open Sans"/>
      <family val="2"/>
    </font>
    <font>
      <sz val="12"/>
      <color rgb="FFFF0000"/>
      <name val="Open Sans"/>
      <family val="2"/>
    </font>
    <font>
      <i/>
      <sz val="14"/>
      <color rgb="FFFF0000"/>
      <name val="Open Sans"/>
      <family val="2"/>
    </font>
    <font>
      <i/>
      <sz val="12"/>
      <color rgb="FFFF0000"/>
      <name val="Open Sans"/>
      <family val="2"/>
    </font>
    <font>
      <b/>
      <sz val="14"/>
      <color rgb="FFFF0000"/>
      <name val="Open Sans"/>
      <family val="2"/>
    </font>
    <font>
      <sz val="14"/>
      <color rgb="FFFF0000"/>
      <name val="Open Sans"/>
      <family val="2"/>
    </font>
    <font>
      <sz val="10"/>
      <color rgb="FFFF0000"/>
      <name val="Open Sans"/>
      <family val="2"/>
    </font>
    <font>
      <sz val="10"/>
      <color rgb="FFFF0000"/>
      <name val="Arial"/>
      <family val="2"/>
    </font>
    <font>
      <b/>
      <sz val="12"/>
      <color rgb="FFFF0000"/>
      <name val="Open Sans"/>
      <family val="2"/>
    </font>
    <font>
      <sz val="10"/>
      <color theme="1"/>
      <name val="Open Sans"/>
      <family val="2"/>
    </font>
    <font>
      <b/>
      <sz val="10"/>
      <color theme="1"/>
      <name val="Open Sans"/>
      <family val="2"/>
    </font>
    <font>
      <sz val="14"/>
      <name val="Arial"/>
      <family val="2"/>
    </font>
    <font>
      <b/>
      <sz val="12"/>
      <color theme="1"/>
      <name val="Open Sans"/>
      <family val="2"/>
    </font>
    <font>
      <sz val="12"/>
      <name val="Arial"/>
      <family val="2"/>
    </font>
    <font>
      <b/>
      <u/>
      <sz val="12"/>
      <name val="Open Sans"/>
      <family val="2"/>
    </font>
    <font>
      <b/>
      <sz val="10"/>
      <color rgb="FFFF0000"/>
      <name val="Open Sans"/>
      <family val="2"/>
    </font>
    <font>
      <b/>
      <sz val="10"/>
      <color rgb="FFFF0000"/>
      <name val="Arial"/>
      <family val="2"/>
    </font>
    <font>
      <i/>
      <sz val="12"/>
      <color rgb="FFFF0000"/>
      <name val="Arial"/>
      <family val="2"/>
    </font>
    <font>
      <i/>
      <sz val="12"/>
      <name val="Arial"/>
      <family val="2"/>
    </font>
    <font>
      <b/>
      <i/>
      <sz val="12"/>
      <name val="Open Sans"/>
      <family val="2"/>
    </font>
    <font>
      <b/>
      <i/>
      <u/>
      <sz val="12"/>
      <name val="Open Sans"/>
      <family val="2"/>
    </font>
    <font>
      <b/>
      <i/>
      <u/>
      <sz val="12"/>
      <name val="Arial"/>
      <family val="2"/>
    </font>
    <font>
      <b/>
      <i/>
      <u/>
      <sz val="14"/>
      <name val="Open Sans"/>
      <family val="2"/>
    </font>
    <font>
      <b/>
      <sz val="28"/>
      <name val="Open Sans"/>
      <family val="2"/>
    </font>
    <font>
      <sz val="28"/>
      <name val="Open Sans"/>
      <family val="2"/>
    </font>
    <font>
      <b/>
      <i/>
      <sz val="10"/>
      <name val="Open Sans"/>
      <family val="2"/>
    </font>
    <font>
      <sz val="10"/>
      <name val="Open Sans"/>
      <family val="2"/>
    </font>
    <font>
      <sz val="14"/>
      <color rgb="FFFF0000"/>
      <name val="Open Sans"/>
      <family val="2"/>
    </font>
    <font>
      <i/>
      <sz val="14"/>
      <name val="Open Sans"/>
      <family val="2"/>
    </font>
    <font>
      <sz val="10"/>
      <name val="Arial"/>
      <family val="2"/>
    </font>
    <font>
      <sz val="11"/>
      <name val="Calibri"/>
      <family val="2"/>
      <scheme val="minor"/>
    </font>
    <font>
      <i/>
      <u/>
      <sz val="14"/>
      <name val="Open Sans"/>
      <family val="2"/>
    </font>
    <font>
      <u/>
      <sz val="12"/>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5">
    <border>
      <left/>
      <right/>
      <top/>
      <bottom/>
      <diagonal/>
    </border>
    <border>
      <left/>
      <right/>
      <top/>
      <bottom style="thin">
        <color indexed="8"/>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right/>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15" fillId="0" borderId="0" applyNumberFormat="0" applyFill="0" applyBorder="0" applyAlignment="0" applyProtection="0"/>
    <xf numFmtId="9" fontId="50" fillId="0" borderId="0" applyFont="0" applyFill="0" applyBorder="0" applyAlignment="0" applyProtection="0"/>
  </cellStyleXfs>
  <cellXfs count="337">
    <xf numFmtId="0" fontId="0" fillId="0" borderId="0" xfId="0"/>
    <xf numFmtId="0" fontId="3" fillId="0" borderId="0" xfId="0" applyFont="1"/>
    <xf numFmtId="0" fontId="1" fillId="0" borderId="0" xfId="0" applyFont="1"/>
    <xf numFmtId="0" fontId="0" fillId="0" borderId="0" xfId="0" applyProtection="1">
      <protection locked="0"/>
    </xf>
    <xf numFmtId="4" fontId="4" fillId="0" borderId="0" xfId="1" applyNumberFormat="1" applyFont="1" applyFill="1" applyBorder="1" applyProtection="1"/>
    <xf numFmtId="4" fontId="7" fillId="5" borderId="4" xfId="2" applyNumberFormat="1" applyFont="1" applyFill="1" applyBorder="1" applyAlignment="1" applyProtection="1">
      <alignment horizontal="right" wrapText="1"/>
      <protection locked="0"/>
    </xf>
    <xf numFmtId="4" fontId="7" fillId="0" borderId="0" xfId="1" applyNumberFormat="1" applyFont="1" applyFill="1" applyProtection="1"/>
    <xf numFmtId="4" fontId="4" fillId="0" borderId="0" xfId="1" applyNumberFormat="1" applyFont="1" applyFill="1" applyProtection="1"/>
    <xf numFmtId="4" fontId="18" fillId="4" borderId="0" xfId="1" applyNumberFormat="1" applyFont="1" applyFill="1" applyProtection="1"/>
    <xf numFmtId="4" fontId="7" fillId="5" borderId="4" xfId="2" applyNumberFormat="1" applyFont="1" applyFill="1" applyBorder="1" applyAlignment="1" applyProtection="1">
      <alignment horizontal="left" wrapText="1"/>
      <protection locked="0"/>
    </xf>
    <xf numFmtId="0" fontId="21" fillId="5" borderId="4" xfId="0" applyFont="1" applyFill="1" applyBorder="1" applyAlignment="1" applyProtection="1">
      <alignment horizontal="left"/>
      <protection locked="0"/>
    </xf>
    <xf numFmtId="4" fontId="18" fillId="0" borderId="0" xfId="1" applyNumberFormat="1" applyFont="1" applyFill="1" applyProtection="1"/>
    <xf numFmtId="4" fontId="18" fillId="0" borderId="0" xfId="1" applyNumberFormat="1" applyFont="1" applyFill="1" applyBorder="1" applyProtection="1"/>
    <xf numFmtId="4" fontId="4" fillId="0" borderId="0" xfId="1" applyNumberFormat="1" applyFont="1" applyProtection="1"/>
    <xf numFmtId="4" fontId="18" fillId="0" borderId="0" xfId="1" applyNumberFormat="1" applyFont="1" applyProtection="1"/>
    <xf numFmtId="4" fontId="7" fillId="0" borderId="0" xfId="1" applyNumberFormat="1" applyFont="1" applyProtection="1"/>
    <xf numFmtId="4" fontId="7" fillId="0" borderId="0" xfId="1" applyNumberFormat="1" applyFont="1" applyFill="1" applyBorder="1" applyProtection="1"/>
    <xf numFmtId="3" fontId="26" fillId="0" borderId="0" xfId="1" applyNumberFormat="1" applyFont="1" applyBorder="1" applyProtection="1"/>
    <xf numFmtId="3" fontId="22" fillId="0" borderId="0" xfId="1" applyNumberFormat="1" applyFont="1" applyBorder="1" applyProtection="1"/>
    <xf numFmtId="3" fontId="14" fillId="0" borderId="0" xfId="1" applyNumberFormat="1" applyFont="1" applyBorder="1" applyProtection="1"/>
    <xf numFmtId="3" fontId="14" fillId="0" borderId="6" xfId="1" applyNumberFormat="1" applyFont="1" applyBorder="1" applyProtection="1"/>
    <xf numFmtId="3" fontId="14" fillId="5" borderId="4" xfId="1" applyNumberFormat="1" applyFont="1" applyFill="1" applyBorder="1" applyProtection="1">
      <protection locked="0"/>
    </xf>
    <xf numFmtId="4" fontId="12" fillId="5" borderId="4" xfId="1" applyNumberFormat="1" applyFont="1" applyFill="1" applyBorder="1" applyAlignment="1" applyProtection="1">
      <alignment horizontal="right"/>
      <protection locked="0"/>
    </xf>
    <xf numFmtId="4" fontId="26" fillId="0" borderId="0" xfId="1" applyNumberFormat="1" applyFont="1" applyProtection="1"/>
    <xf numFmtId="3" fontId="25" fillId="0" borderId="0" xfId="1" applyNumberFormat="1" applyFont="1" applyBorder="1" applyProtection="1"/>
    <xf numFmtId="0" fontId="5" fillId="0" borderId="0" xfId="0" applyFont="1"/>
    <xf numFmtId="0" fontId="5" fillId="0" borderId="3" xfId="0" applyFont="1" applyBorder="1"/>
    <xf numFmtId="0" fontId="12" fillId="0" borderId="0" xfId="0" applyFont="1"/>
    <xf numFmtId="0" fontId="8" fillId="0" borderId="0" xfId="0" applyFont="1"/>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xf>
    <xf numFmtId="0" fontId="6" fillId="0" borderId="0" xfId="0" applyFont="1"/>
    <xf numFmtId="0" fontId="7" fillId="0" borderId="0" xfId="0" applyFont="1"/>
    <xf numFmtId="0" fontId="13" fillId="0" borderId="0" xfId="0" applyFont="1"/>
    <xf numFmtId="0" fontId="4" fillId="0" borderId="0" xfId="0" applyFont="1"/>
    <xf numFmtId="0" fontId="4" fillId="0" borderId="3" xfId="0" applyFont="1" applyBorder="1"/>
    <xf numFmtId="0" fontId="8" fillId="0" borderId="0" xfId="0" applyFont="1" applyAlignment="1">
      <alignment horizontal="center"/>
    </xf>
    <xf numFmtId="0" fontId="5" fillId="0" borderId="0" xfId="0" applyFont="1" applyAlignment="1">
      <alignment horizontal="center"/>
    </xf>
    <xf numFmtId="16" fontId="5" fillId="0" borderId="0" xfId="0" quotePrefix="1" applyNumberFormat="1" applyFont="1" applyAlignment="1">
      <alignment horizontal="center"/>
    </xf>
    <xf numFmtId="0" fontId="4" fillId="0" borderId="3" xfId="0" applyFont="1" applyBorder="1" applyAlignment="1">
      <alignment horizontal="left"/>
    </xf>
    <xf numFmtId="0" fontId="5" fillId="0" borderId="3" xfId="0" applyFont="1" applyBorder="1" applyAlignment="1">
      <alignment horizontal="left"/>
    </xf>
    <xf numFmtId="3" fontId="5" fillId="0" borderId="0" xfId="0" applyNumberFormat="1" applyFont="1"/>
    <xf numFmtId="0" fontId="13" fillId="5" borderId="0" xfId="0" applyFont="1" applyFill="1" applyAlignment="1">
      <alignment vertical="top"/>
    </xf>
    <xf numFmtId="0" fontId="5" fillId="5" borderId="0" xfId="0" applyFont="1" applyFill="1" applyAlignment="1">
      <alignment vertical="top" wrapText="1"/>
    </xf>
    <xf numFmtId="3" fontId="5" fillId="0" borderId="0" xfId="0" applyNumberFormat="1" applyFont="1" applyAlignment="1">
      <alignment vertical="top" wrapText="1"/>
    </xf>
    <xf numFmtId="0" fontId="9" fillId="0" borderId="0" xfId="0" applyFont="1" applyAlignment="1">
      <alignment vertical="top" wrapText="1"/>
    </xf>
    <xf numFmtId="0" fontId="5" fillId="0" borderId="1" xfId="0" applyFont="1" applyBorder="1" applyAlignment="1">
      <alignment vertical="top" wrapText="1"/>
    </xf>
    <xf numFmtId="3" fontId="5" fillId="0" borderId="1" xfId="0" applyNumberFormat="1" applyFont="1" applyBorder="1" applyAlignment="1">
      <alignment vertical="top" wrapText="1"/>
    </xf>
    <xf numFmtId="0" fontId="5" fillId="0" borderId="15" xfId="0" applyFont="1" applyBorder="1" applyAlignment="1">
      <alignment horizontal="left"/>
    </xf>
    <xf numFmtId="0" fontId="8" fillId="0" borderId="0" xfId="0" applyFont="1" applyAlignment="1">
      <alignment horizontal="left" vertical="top" wrapText="1"/>
    </xf>
    <xf numFmtId="3" fontId="8" fillId="0" borderId="0" xfId="0" applyNumberFormat="1" applyFont="1" applyAlignment="1">
      <alignment horizontal="center" vertical="top" wrapText="1"/>
    </xf>
    <xf numFmtId="3" fontId="5" fillId="0" borderId="0" xfId="0" applyNumberFormat="1" applyFont="1" applyAlignment="1">
      <alignment horizontal="center" vertical="top" wrapText="1"/>
    </xf>
    <xf numFmtId="0" fontId="13" fillId="0" borderId="0" xfId="0" applyFont="1" applyAlignment="1">
      <alignment vertical="top"/>
    </xf>
    <xf numFmtId="3" fontId="5" fillId="0" borderId="0" xfId="0" applyNumberFormat="1" applyFont="1" applyAlignment="1">
      <alignment horizontal="left" vertical="top" wrapText="1"/>
    </xf>
    <xf numFmtId="0" fontId="5" fillId="0" borderId="6" xfId="0" applyFont="1" applyBorder="1"/>
    <xf numFmtId="3" fontId="5" fillId="0" borderId="6" xfId="0" applyNumberFormat="1" applyFont="1" applyBorder="1"/>
    <xf numFmtId="3" fontId="8" fillId="0" borderId="0" xfId="0" applyNumberFormat="1" applyFont="1"/>
    <xf numFmtId="0" fontId="10" fillId="0" borderId="0" xfId="0" applyFont="1"/>
    <xf numFmtId="3" fontId="11" fillId="0" borderId="0" xfId="0" applyNumberFormat="1" applyFont="1" applyAlignment="1">
      <alignment vertical="top" wrapText="1"/>
    </xf>
    <xf numFmtId="0" fontId="13" fillId="5" borderId="0" xfId="0" applyFont="1" applyFill="1"/>
    <xf numFmtId="0" fontId="5" fillId="5" borderId="0" xfId="0" applyFont="1" applyFill="1"/>
    <xf numFmtId="0" fontId="5" fillId="0" borderId="0" xfId="0" applyFont="1" applyAlignment="1">
      <alignment horizontal="left" vertical="top"/>
    </xf>
    <xf numFmtId="0" fontId="8" fillId="0" borderId="0" xfId="0" applyFont="1" applyAlignment="1">
      <alignment horizontal="left" vertical="top"/>
    </xf>
    <xf numFmtId="4" fontId="5" fillId="0" borderId="0" xfId="1" applyNumberFormat="1" applyFont="1" applyFill="1" applyBorder="1" applyProtection="1"/>
    <xf numFmtId="0" fontId="8" fillId="7" borderId="20" xfId="0" applyFont="1" applyFill="1" applyBorder="1"/>
    <xf numFmtId="0" fontId="5" fillId="7" borderId="12" xfId="0" applyFont="1" applyFill="1" applyBorder="1"/>
    <xf numFmtId="0" fontId="5" fillId="7" borderId="0" xfId="0" applyFont="1" applyFill="1"/>
    <xf numFmtId="0" fontId="5" fillId="7" borderId="3" xfId="0" applyFont="1" applyFill="1" applyBorder="1"/>
    <xf numFmtId="3" fontId="5" fillId="7" borderId="23" xfId="0" applyNumberFormat="1" applyFont="1" applyFill="1" applyBorder="1" applyAlignment="1">
      <alignment horizontal="right"/>
    </xf>
    <xf numFmtId="0" fontId="8" fillId="7" borderId="14" xfId="0" applyFont="1" applyFill="1" applyBorder="1"/>
    <xf numFmtId="3" fontId="8" fillId="7" borderId="9" xfId="0" applyNumberFormat="1" applyFont="1" applyFill="1" applyBorder="1"/>
    <xf numFmtId="0" fontId="14" fillId="0" borderId="0" xfId="0" applyFont="1"/>
    <xf numFmtId="0" fontId="13" fillId="0" borderId="0" xfId="0" applyFont="1" applyAlignment="1">
      <alignment horizontal="left"/>
    </xf>
    <xf numFmtId="0" fontId="16" fillId="0" borderId="0" xfId="0" applyFont="1"/>
    <xf numFmtId="0" fontId="16" fillId="0" borderId="3" xfId="0" applyFont="1" applyBorder="1"/>
    <xf numFmtId="0" fontId="8" fillId="2" borderId="4" xfId="0" applyFont="1" applyFill="1" applyBorder="1" applyAlignment="1">
      <alignment horizontal="center"/>
    </xf>
    <xf numFmtId="0" fontId="5" fillId="0" borderId="4" xfId="0" applyFont="1" applyBorder="1"/>
    <xf numFmtId="0" fontId="8" fillId="2" borderId="4" xfId="0" applyFont="1" applyFill="1" applyBorder="1" applyAlignment="1">
      <alignment horizontal="center" wrapText="1"/>
    </xf>
    <xf numFmtId="0" fontId="5" fillId="3" borderId="4" xfId="0" applyFont="1" applyFill="1" applyBorder="1" applyAlignment="1">
      <alignment horizontal="center"/>
    </xf>
    <xf numFmtId="0" fontId="5" fillId="5" borderId="4" xfId="0" applyFont="1" applyFill="1" applyBorder="1" applyAlignment="1" applyProtection="1">
      <alignment horizontal="center"/>
      <protection locked="0"/>
    </xf>
    <xf numFmtId="0" fontId="5" fillId="5" borderId="4" xfId="0" applyFont="1" applyFill="1" applyBorder="1" applyAlignment="1" applyProtection="1">
      <alignment horizontal="center" wrapText="1"/>
      <protection locked="0"/>
    </xf>
    <xf numFmtId="0" fontId="5" fillId="5" borderId="4" xfId="0" applyFont="1" applyFill="1" applyBorder="1" applyAlignment="1" applyProtection="1">
      <alignment horizontal="center" vertical="center" wrapText="1"/>
      <protection locked="0"/>
    </xf>
    <xf numFmtId="0" fontId="17" fillId="5" borderId="4" xfId="4" applyFont="1" applyFill="1" applyBorder="1" applyAlignment="1" applyProtection="1">
      <alignment horizontal="center" wrapText="1"/>
      <protection locked="0"/>
    </xf>
    <xf numFmtId="14" fontId="5" fillId="5" borderId="4" xfId="0" applyNumberFormat="1" applyFont="1" applyFill="1" applyBorder="1" applyAlignment="1" applyProtection="1">
      <alignment horizontal="center" vertical="center" wrapText="1"/>
      <protection locked="0"/>
    </xf>
    <xf numFmtId="0" fontId="19" fillId="0" borderId="0" xfId="0" applyFont="1"/>
    <xf numFmtId="0" fontId="16" fillId="0" borderId="0" xfId="0" applyFont="1" applyAlignment="1">
      <alignment horizontal="center"/>
    </xf>
    <xf numFmtId="0" fontId="18" fillId="4" borderId="3" xfId="0" applyFont="1" applyFill="1" applyBorder="1"/>
    <xf numFmtId="0" fontId="18" fillId="0" borderId="0" xfId="0" applyFont="1" applyAlignment="1">
      <alignment wrapText="1"/>
    </xf>
    <xf numFmtId="0" fontId="18" fillId="4" borderId="0" xfId="0" applyFont="1" applyFill="1"/>
    <xf numFmtId="0" fontId="4" fillId="4" borderId="0" xfId="0" applyFont="1" applyFill="1" applyAlignment="1">
      <alignment horizontal="center"/>
    </xf>
    <xf numFmtId="0" fontId="4" fillId="0" borderId="0" xfId="0" applyFont="1" applyAlignment="1">
      <alignment horizontal="center"/>
    </xf>
    <xf numFmtId="4" fontId="4" fillId="4" borderId="0" xfId="3" applyNumberFormat="1" applyFont="1" applyFill="1" applyProtection="1"/>
    <xf numFmtId="4" fontId="4" fillId="4" borderId="0" xfId="1" applyNumberFormat="1" applyFont="1" applyFill="1" applyProtection="1"/>
    <xf numFmtId="4" fontId="7" fillId="0" borderId="0" xfId="0" applyNumberFormat="1" applyFont="1" applyAlignment="1">
      <alignment horizontal="right" wrapText="1"/>
    </xf>
    <xf numFmtId="0" fontId="20" fillId="0" borderId="0" xfId="0" applyFont="1"/>
    <xf numFmtId="4" fontId="19" fillId="0" borderId="0" xfId="0" applyNumberFormat="1" applyFont="1" applyAlignment="1">
      <alignment horizontal="right" wrapText="1"/>
    </xf>
    <xf numFmtId="0" fontId="19" fillId="0" borderId="0" xfId="0" quotePrefix="1" applyFont="1"/>
    <xf numFmtId="0" fontId="18" fillId="0" borderId="0" xfId="0" applyFont="1"/>
    <xf numFmtId="4" fontId="19" fillId="0" borderId="0" xfId="1" applyNumberFormat="1" applyFont="1" applyFill="1" applyBorder="1" applyProtection="1"/>
    <xf numFmtId="0" fontId="21" fillId="0" borderId="0" xfId="0" applyFont="1"/>
    <xf numFmtId="4" fontId="7" fillId="0" borderId="0" xfId="0" applyNumberFormat="1" applyFont="1"/>
    <xf numFmtId="4" fontId="4" fillId="0" borderId="0" xfId="0" applyNumberFormat="1" applyFont="1" applyAlignment="1">
      <alignment horizontal="right" wrapText="1"/>
    </xf>
    <xf numFmtId="4" fontId="7" fillId="0" borderId="0" xfId="1" quotePrefix="1" applyNumberFormat="1" applyFont="1" applyFill="1" applyBorder="1" applyProtection="1"/>
    <xf numFmtId="0" fontId="7" fillId="0" borderId="0" xfId="0" applyFont="1" applyAlignment="1">
      <alignment vertical="top"/>
    </xf>
    <xf numFmtId="4" fontId="19" fillId="0" borderId="0" xfId="0" applyNumberFormat="1" applyFont="1"/>
    <xf numFmtId="0" fontId="25" fillId="0" borderId="0" xfId="0" applyFont="1"/>
    <xf numFmtId="4" fontId="4" fillId="0" borderId="0" xfId="0" applyNumberFormat="1" applyFont="1"/>
    <xf numFmtId="0" fontId="26" fillId="0" borderId="0" xfId="0" applyFont="1"/>
    <xf numFmtId="0" fontId="27" fillId="0" borderId="0" xfId="0" applyFont="1"/>
    <xf numFmtId="0" fontId="28" fillId="0" borderId="0" xfId="0" applyFont="1"/>
    <xf numFmtId="0" fontId="36" fillId="0" borderId="0" xfId="0" applyFont="1"/>
    <xf numFmtId="0" fontId="37" fillId="0" borderId="0" xfId="0" applyFont="1"/>
    <xf numFmtId="0" fontId="18" fillId="3" borderId="3" xfId="0" applyFont="1" applyFill="1" applyBorder="1"/>
    <xf numFmtId="4" fontId="18" fillId="3" borderId="3" xfId="1" applyNumberFormat="1" applyFont="1" applyFill="1" applyBorder="1" applyProtection="1"/>
    <xf numFmtId="0" fontId="18" fillId="4" borderId="0" xfId="0" applyFont="1" applyFill="1" applyAlignment="1">
      <alignment vertical="top"/>
    </xf>
    <xf numFmtId="4" fontId="18" fillId="4" borderId="0" xfId="1" applyNumberFormat="1" applyFont="1" applyFill="1" applyAlignment="1" applyProtection="1">
      <alignment wrapText="1"/>
    </xf>
    <xf numFmtId="0" fontId="19" fillId="0" borderId="0" xfId="0" applyFont="1" applyAlignment="1">
      <alignment wrapText="1"/>
    </xf>
    <xf numFmtId="0" fontId="8" fillId="7" borderId="21" xfId="0" applyFont="1" applyFill="1" applyBorder="1"/>
    <xf numFmtId="0" fontId="8" fillId="7" borderId="22" xfId="0" applyFont="1" applyFill="1" applyBorder="1"/>
    <xf numFmtId="0" fontId="4" fillId="4" borderId="0" xfId="0" applyFont="1" applyFill="1"/>
    <xf numFmtId="4" fontId="7" fillId="4" borderId="0" xfId="1" applyNumberFormat="1" applyFont="1" applyFill="1" applyProtection="1"/>
    <xf numFmtId="0" fontId="22" fillId="0" borderId="0" xfId="0" applyFont="1"/>
    <xf numFmtId="0" fontId="23" fillId="0" borderId="0" xfId="0" applyFont="1"/>
    <xf numFmtId="0" fontId="24" fillId="0" borderId="0" xfId="0" applyFont="1"/>
    <xf numFmtId="4" fontId="26" fillId="0" borderId="0" xfId="1" applyNumberFormat="1" applyFont="1" applyFill="1" applyProtection="1"/>
    <xf numFmtId="0" fontId="7" fillId="0" borderId="0" xfId="0" applyFont="1" applyAlignment="1">
      <alignment vertical="center"/>
    </xf>
    <xf numFmtId="0" fontId="7" fillId="0" borderId="0" xfId="0" applyFont="1" applyAlignment="1">
      <alignment wrapText="1"/>
    </xf>
    <xf numFmtId="4" fontId="7" fillId="0" borderId="0" xfId="0" applyNumberFormat="1" applyFont="1" applyAlignment="1">
      <alignment horizontal="right" vertical="top" wrapText="1"/>
    </xf>
    <xf numFmtId="0" fontId="14" fillId="0" borderId="0" xfId="0" applyFont="1" applyAlignment="1">
      <alignment vertical="top"/>
    </xf>
    <xf numFmtId="0" fontId="4" fillId="0" borderId="0" xfId="0" applyFont="1" applyAlignment="1">
      <alignment wrapText="1"/>
    </xf>
    <xf numFmtId="0" fontId="4" fillId="0" borderId="0" xfId="0" applyFont="1" applyAlignment="1">
      <alignment horizontal="left" wrapText="1"/>
    </xf>
    <xf numFmtId="167" fontId="5" fillId="0" borderId="0" xfId="0" applyNumberFormat="1" applyFont="1"/>
    <xf numFmtId="4" fontId="5" fillId="0" borderId="0" xfId="1" applyNumberFormat="1" applyFont="1" applyProtection="1"/>
    <xf numFmtId="0" fontId="32" fillId="0" borderId="0" xfId="0" applyFont="1"/>
    <xf numFmtId="0" fontId="12" fillId="0" borderId="0" xfId="0" applyFont="1" applyAlignment="1">
      <alignment vertical="top" wrapText="1"/>
    </xf>
    <xf numFmtId="0" fontId="14" fillId="0" borderId="0" xfId="0" quotePrefix="1" applyFont="1"/>
    <xf numFmtId="0" fontId="34" fillId="0" borderId="0" xfId="0" applyFont="1"/>
    <xf numFmtId="0" fontId="29" fillId="0" borderId="0" xfId="0" applyFont="1"/>
    <xf numFmtId="0" fontId="18" fillId="0" borderId="3" xfId="0" applyFont="1" applyBorder="1" applyAlignment="1">
      <alignment horizontal="center" wrapText="1"/>
    </xf>
    <xf numFmtId="0" fontId="20" fillId="0" borderId="0" xfId="0" applyFont="1" applyAlignment="1">
      <alignment vertical="center"/>
    </xf>
    <xf numFmtId="0" fontId="24" fillId="0" borderId="0" xfId="0" applyFont="1" applyAlignment="1">
      <alignment vertical="center"/>
    </xf>
    <xf numFmtId="4" fontId="33" fillId="0" borderId="0" xfId="1" applyNumberFormat="1" applyFont="1" applyFill="1" applyBorder="1" applyProtection="1"/>
    <xf numFmtId="3" fontId="14" fillId="0" borderId="2" xfId="0" applyNumberFormat="1" applyFont="1" applyBorder="1" applyAlignment="1">
      <alignment horizontal="right"/>
    </xf>
    <xf numFmtId="3" fontId="14" fillId="0" borderId="0" xfId="0" applyNumberFormat="1" applyFont="1" applyAlignment="1">
      <alignment horizontal="right"/>
    </xf>
    <xf numFmtId="3" fontId="14" fillId="0" borderId="0" xfId="0" applyNumberFormat="1" applyFont="1"/>
    <xf numFmtId="3" fontId="14" fillId="0" borderId="6" xfId="0" applyNumberFormat="1" applyFont="1" applyBorder="1"/>
    <xf numFmtId="3" fontId="12" fillId="0" borderId="17" xfId="0" applyNumberFormat="1" applyFont="1" applyBorder="1"/>
    <xf numFmtId="0" fontId="20" fillId="0" borderId="0" xfId="0" applyFont="1" applyAlignment="1">
      <alignment horizontal="left" vertical="center"/>
    </xf>
    <xf numFmtId="0" fontId="20" fillId="0" borderId="0" xfId="0" applyFont="1" applyAlignment="1">
      <alignment horizontal="left" vertical="center" wrapText="1"/>
    </xf>
    <xf numFmtId="3" fontId="12" fillId="0" borderId="0" xfId="0" applyNumberFormat="1" applyFont="1"/>
    <xf numFmtId="0" fontId="35" fillId="0" borderId="0" xfId="0" applyFont="1"/>
    <xf numFmtId="0" fontId="20" fillId="0" borderId="0" xfId="0" applyFont="1" applyAlignment="1">
      <alignment vertical="top"/>
    </xf>
    <xf numFmtId="0" fontId="38" fillId="0" borderId="0" xfId="0" applyFont="1"/>
    <xf numFmtId="0" fontId="20" fillId="0" borderId="0" xfId="0" applyFont="1" applyAlignment="1">
      <alignment vertical="top" wrapText="1"/>
    </xf>
    <xf numFmtId="0" fontId="38" fillId="0" borderId="0" xfId="0" applyFont="1" applyAlignment="1">
      <alignment wrapText="1"/>
    </xf>
    <xf numFmtId="0" fontId="38" fillId="0" borderId="0" xfId="0" applyFont="1" applyAlignment="1">
      <alignment vertical="top" wrapText="1"/>
    </xf>
    <xf numFmtId="3" fontId="12" fillId="0" borderId="2" xfId="0" applyNumberFormat="1" applyFont="1" applyBorder="1"/>
    <xf numFmtId="4" fontId="14" fillId="0" borderId="0" xfId="0" applyNumberFormat="1" applyFont="1" applyAlignment="1">
      <alignment horizontal="right" wrapText="1"/>
    </xf>
    <xf numFmtId="3" fontId="14" fillId="0" borderId="0" xfId="1" applyNumberFormat="1" applyFont="1" applyFill="1" applyBorder="1" applyProtection="1"/>
    <xf numFmtId="3" fontId="12" fillId="0" borderId="5" xfId="0" applyNumberFormat="1" applyFont="1" applyBorder="1"/>
    <xf numFmtId="0" fontId="20" fillId="0" borderId="0" xfId="0" applyFont="1" applyAlignment="1">
      <alignment horizontal="left" vertical="top"/>
    </xf>
    <xf numFmtId="4" fontId="14" fillId="0" borderId="0" xfId="1" applyNumberFormat="1" applyFont="1" applyFill="1" applyProtection="1"/>
    <xf numFmtId="4" fontId="20" fillId="0" borderId="0" xfId="0" applyNumberFormat="1" applyFont="1"/>
    <xf numFmtId="4" fontId="14" fillId="0" borderId="0" xfId="1" applyNumberFormat="1" applyFont="1" applyFill="1" applyBorder="1" applyProtection="1"/>
    <xf numFmtId="0" fontId="24" fillId="0" borderId="0" xfId="0" applyFont="1" applyAlignment="1">
      <alignment vertical="top" wrapText="1"/>
    </xf>
    <xf numFmtId="0" fontId="5" fillId="0" borderId="0" xfId="2" applyFont="1"/>
    <xf numFmtId="0" fontId="12" fillId="0" borderId="18" xfId="0" applyFont="1" applyBorder="1" applyAlignment="1">
      <alignment horizontal="left"/>
    </xf>
    <xf numFmtId="0" fontId="5" fillId="0" borderId="4" xfId="0" applyFont="1" applyBorder="1" applyAlignment="1">
      <alignment vertical="center" wrapText="1"/>
    </xf>
    <xf numFmtId="0" fontId="5" fillId="0" borderId="4" xfId="0" applyFont="1" applyBorder="1" applyAlignment="1">
      <alignment vertical="center"/>
    </xf>
    <xf numFmtId="4" fontId="8" fillId="0" borderId="4" xfId="2" applyNumberFormat="1" applyFont="1" applyBorder="1" applyAlignment="1">
      <alignment vertical="center"/>
    </xf>
    <xf numFmtId="0" fontId="13" fillId="0" borderId="0" xfId="2" quotePrefix="1" applyFont="1" applyAlignment="1">
      <alignment vertical="top"/>
    </xf>
    <xf numFmtId="0" fontId="5" fillId="0" borderId="4" xfId="2" applyFont="1" applyBorder="1" applyAlignment="1">
      <alignment vertical="center"/>
    </xf>
    <xf numFmtId="0" fontId="5" fillId="0" borderId="4" xfId="2" applyFont="1" applyBorder="1" applyAlignment="1">
      <alignment vertical="center" wrapText="1"/>
    </xf>
    <xf numFmtId="0" fontId="8" fillId="0" borderId="4" xfId="0" applyFont="1" applyBorder="1" applyAlignment="1">
      <alignment vertical="center" wrapText="1"/>
    </xf>
    <xf numFmtId="0" fontId="5" fillId="0" borderId="0" xfId="2" applyFont="1" applyProtection="1">
      <protection locked="0"/>
    </xf>
    <xf numFmtId="0" fontId="44" fillId="0" borderId="0" xfId="0" applyFont="1"/>
    <xf numFmtId="0" fontId="45" fillId="0" borderId="0" xfId="0" applyFont="1"/>
    <xf numFmtId="0" fontId="5"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13"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3" fontId="5" fillId="0" borderId="0" xfId="0" applyNumberFormat="1" applyFont="1" applyAlignment="1">
      <alignment vertical="center"/>
    </xf>
    <xf numFmtId="3" fontId="13" fillId="0" borderId="0" xfId="0" applyNumberFormat="1"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3" fontId="5" fillId="0" borderId="0" xfId="2" applyNumberFormat="1" applyFont="1" applyAlignment="1" applyProtection="1">
      <alignment vertical="center"/>
      <protection locked="0"/>
    </xf>
    <xf numFmtId="3" fontId="5" fillId="0" borderId="0" xfId="0" applyNumberFormat="1" applyFont="1" applyAlignment="1" applyProtection="1">
      <alignment vertical="center"/>
      <protection locked="0"/>
    </xf>
    <xf numFmtId="3" fontId="8" fillId="0" borderId="2" xfId="1" applyNumberFormat="1" applyFont="1" applyBorder="1" applyAlignment="1" applyProtection="1">
      <alignment vertical="center"/>
    </xf>
    <xf numFmtId="166" fontId="8" fillId="0" borderId="0" xfId="1" applyNumberFormat="1" applyFont="1" applyAlignment="1" applyProtection="1">
      <alignment vertical="center"/>
    </xf>
    <xf numFmtId="4" fontId="8" fillId="0" borderId="0" xfId="1" applyNumberFormat="1" applyFont="1" applyBorder="1" applyAlignment="1" applyProtection="1">
      <alignment vertical="center"/>
    </xf>
    <xf numFmtId="3" fontId="8" fillId="0" borderId="2" xfId="0" applyNumberFormat="1" applyFont="1" applyBorder="1" applyAlignment="1">
      <alignment vertical="center"/>
    </xf>
    <xf numFmtId="1" fontId="5" fillId="0" borderId="0" xfId="0" applyNumberFormat="1" applyFont="1" applyAlignment="1">
      <alignment vertical="center"/>
    </xf>
    <xf numFmtId="3" fontId="8" fillId="0" borderId="5" xfId="1" applyNumberFormat="1" applyFont="1" applyBorder="1" applyAlignment="1" applyProtection="1">
      <alignment vertical="center"/>
    </xf>
    <xf numFmtId="4" fontId="8" fillId="0" borderId="0" xfId="1" applyNumberFormat="1" applyFont="1" applyAlignment="1" applyProtection="1">
      <alignment vertical="center"/>
    </xf>
    <xf numFmtId="0" fontId="5" fillId="0" borderId="0" xfId="0" applyFont="1" applyAlignment="1">
      <alignment horizontal="left" vertical="center" wrapText="1"/>
    </xf>
    <xf numFmtId="3" fontId="13" fillId="5" borderId="0" xfId="0" applyNumberFormat="1" applyFont="1" applyFill="1" applyAlignment="1">
      <alignment vertical="center"/>
    </xf>
    <xf numFmtId="0" fontId="5" fillId="5" borderId="0" xfId="0" applyFont="1" applyFill="1" applyAlignment="1">
      <alignment vertical="center"/>
    </xf>
    <xf numFmtId="3" fontId="5" fillId="0" borderId="0" xfId="1" applyNumberFormat="1" applyFont="1" applyFill="1" applyBorder="1" applyAlignment="1" applyProtection="1">
      <alignment vertical="center"/>
      <protection locked="0"/>
    </xf>
    <xf numFmtId="4" fontId="5" fillId="0" borderId="0" xfId="1" applyNumberFormat="1" applyFont="1" applyFill="1" applyBorder="1" applyAlignment="1" applyProtection="1">
      <alignment vertical="center"/>
    </xf>
    <xf numFmtId="1" fontId="5" fillId="0" borderId="0" xfId="1" applyNumberFormat="1" applyFont="1" applyFill="1" applyBorder="1" applyAlignment="1" applyProtection="1">
      <alignment vertical="center"/>
    </xf>
    <xf numFmtId="3" fontId="5" fillId="0" borderId="6" xfId="0" applyNumberFormat="1" applyFont="1" applyBorder="1" applyAlignment="1">
      <alignment vertical="center"/>
    </xf>
    <xf numFmtId="3" fontId="5" fillId="0" borderId="6" xfId="0" applyNumberFormat="1" applyFont="1" applyBorder="1" applyAlignment="1" applyProtection="1">
      <alignment vertical="center"/>
      <protection locked="0"/>
    </xf>
    <xf numFmtId="3" fontId="8" fillId="0" borderId="6" xfId="1" applyNumberFormat="1" applyFont="1" applyFill="1" applyBorder="1" applyAlignment="1" applyProtection="1">
      <alignment vertical="center"/>
    </xf>
    <xf numFmtId="3" fontId="8" fillId="0" borderId="0" xfId="1" applyNumberFormat="1" applyFont="1" applyBorder="1" applyAlignment="1" applyProtection="1">
      <alignment vertical="center"/>
    </xf>
    <xf numFmtId="0" fontId="8" fillId="7" borderId="20" xfId="0" applyFont="1" applyFill="1" applyBorder="1" applyAlignment="1">
      <alignment vertical="center"/>
    </xf>
    <xf numFmtId="0" fontId="5" fillId="7" borderId="21" xfId="0" applyFont="1" applyFill="1" applyBorder="1" applyAlignment="1">
      <alignment vertical="center"/>
    </xf>
    <xf numFmtId="0" fontId="5" fillId="7" borderId="22" xfId="0" applyFont="1" applyFill="1" applyBorder="1" applyAlignment="1">
      <alignment vertical="center"/>
    </xf>
    <xf numFmtId="3" fontId="8" fillId="0" borderId="0" xfId="1" applyNumberFormat="1" applyFont="1" applyFill="1" applyBorder="1" applyAlignment="1" applyProtection="1">
      <alignment vertical="center"/>
    </xf>
    <xf numFmtId="166" fontId="8" fillId="0" borderId="0" xfId="1" applyNumberFormat="1" applyFont="1" applyFill="1" applyBorder="1" applyAlignment="1" applyProtection="1">
      <alignment vertical="center"/>
    </xf>
    <xf numFmtId="0" fontId="5" fillId="7" borderId="10" xfId="0" applyFont="1" applyFill="1" applyBorder="1" applyAlignment="1">
      <alignment vertical="center"/>
    </xf>
    <xf numFmtId="0" fontId="5" fillId="7" borderId="19" xfId="0" applyFont="1" applyFill="1" applyBorder="1" applyAlignment="1">
      <alignment vertical="center"/>
    </xf>
    <xf numFmtId="3" fontId="5" fillId="7" borderId="11" xfId="0" applyNumberFormat="1" applyFont="1" applyFill="1" applyBorder="1" applyAlignment="1">
      <alignment vertical="center"/>
    </xf>
    <xf numFmtId="0" fontId="5" fillId="7" borderId="12" xfId="0" applyFont="1" applyFill="1" applyBorder="1" applyAlignment="1">
      <alignment vertical="center"/>
    </xf>
    <xf numFmtId="0" fontId="5" fillId="7" borderId="0" xfId="0" applyFont="1" applyFill="1" applyAlignment="1">
      <alignment vertical="center"/>
    </xf>
    <xf numFmtId="3" fontId="5" fillId="7" borderId="13" xfId="0" applyNumberFormat="1" applyFont="1" applyFill="1" applyBorder="1" applyAlignment="1">
      <alignment vertical="center"/>
    </xf>
    <xf numFmtId="0" fontId="5" fillId="7" borderId="14" xfId="0" applyFont="1" applyFill="1" applyBorder="1" applyAlignment="1">
      <alignment vertical="center"/>
    </xf>
    <xf numFmtId="0" fontId="5" fillId="7" borderId="3" xfId="0" applyFont="1" applyFill="1" applyBorder="1" applyAlignment="1">
      <alignment vertical="center"/>
    </xf>
    <xf numFmtId="3" fontId="8" fillId="6" borderId="9" xfId="0" applyNumberFormat="1" applyFont="1" applyFill="1" applyBorder="1" applyAlignment="1">
      <alignment vertical="center"/>
    </xf>
    <xf numFmtId="0" fontId="4" fillId="0" borderId="3" xfId="0" applyFont="1" applyBorder="1" applyAlignment="1">
      <alignment vertical="center"/>
    </xf>
    <xf numFmtId="3" fontId="8" fillId="0" borderId="2" xfId="1" applyNumberFormat="1" applyFont="1" applyFill="1" applyBorder="1" applyAlignment="1" applyProtection="1">
      <alignment vertical="center"/>
    </xf>
    <xf numFmtId="3" fontId="8" fillId="0" borderId="6" xfId="1" applyNumberFormat="1" applyFont="1" applyBorder="1" applyAlignment="1" applyProtection="1">
      <alignment vertical="center"/>
    </xf>
    <xf numFmtId="3" fontId="8" fillId="0" borderId="17" xfId="1" applyNumberFormat="1" applyFont="1" applyBorder="1" applyAlignment="1" applyProtection="1">
      <alignment vertical="center"/>
    </xf>
    <xf numFmtId="0" fontId="5" fillId="0" borderId="0" xfId="0" applyFont="1" applyAlignment="1" applyProtection="1">
      <alignment vertical="center"/>
      <protection locked="0"/>
    </xf>
    <xf numFmtId="0" fontId="8" fillId="7" borderId="0" xfId="0" applyFont="1" applyFill="1" applyAlignment="1">
      <alignment vertical="center"/>
    </xf>
    <xf numFmtId="3" fontId="5" fillId="7" borderId="0" xfId="0" applyNumberFormat="1" applyFont="1" applyFill="1" applyAlignment="1">
      <alignment horizontal="right" vertical="center"/>
    </xf>
    <xf numFmtId="3" fontId="8" fillId="7" borderId="0" xfId="0" applyNumberFormat="1" applyFont="1" applyFill="1" applyAlignment="1">
      <alignment vertical="center"/>
    </xf>
    <xf numFmtId="0" fontId="8" fillId="0" borderId="0" xfId="0" applyFont="1" applyAlignment="1">
      <alignment horizontal="right" vertical="center"/>
    </xf>
    <xf numFmtId="0" fontId="14" fillId="0" borderId="0" xfId="0" applyFont="1" applyAlignment="1">
      <alignment vertical="center"/>
    </xf>
    <xf numFmtId="3" fontId="13" fillId="0" borderId="0" xfId="0" applyNumberFormat="1" applyFont="1" applyAlignment="1">
      <alignment vertical="center" wrapText="1"/>
    </xf>
    <xf numFmtId="0" fontId="13" fillId="0" borderId="0" xfId="0" applyFont="1" applyAlignment="1">
      <alignment horizontal="left" vertical="center"/>
    </xf>
    <xf numFmtId="3" fontId="5" fillId="0" borderId="0" xfId="1" applyNumberFormat="1" applyFont="1" applyAlignment="1" applyProtection="1">
      <alignment vertical="center"/>
    </xf>
    <xf numFmtId="3" fontId="8" fillId="0" borderId="6" xfId="0" applyNumberFormat="1" applyFont="1" applyBorder="1" applyAlignment="1">
      <alignment vertical="center"/>
    </xf>
    <xf numFmtId="3" fontId="5" fillId="0" borderId="6" xfId="0" applyNumberFormat="1" applyFont="1" applyBorder="1" applyAlignment="1">
      <alignment horizontal="right" vertical="center"/>
    </xf>
    <xf numFmtId="3" fontId="5"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vertical="center"/>
    </xf>
    <xf numFmtId="0" fontId="13" fillId="0" borderId="0" xfId="0" applyFont="1" applyAlignment="1">
      <alignment horizontal="center" vertical="center"/>
    </xf>
    <xf numFmtId="3" fontId="5" fillId="0" borderId="0" xfId="1" applyNumberFormat="1" applyFont="1" applyBorder="1" applyAlignment="1" applyProtection="1">
      <alignment vertical="center"/>
      <protection locked="0"/>
    </xf>
    <xf numFmtId="3" fontId="5" fillId="0" borderId="2" xfId="0" applyNumberFormat="1" applyFont="1" applyBorder="1" applyAlignment="1">
      <alignment vertical="center"/>
    </xf>
    <xf numFmtId="3" fontId="5" fillId="0" borderId="2" xfId="0" applyNumberFormat="1" applyFont="1" applyBorder="1" applyAlignment="1" applyProtection="1">
      <alignment vertical="center"/>
      <protection locked="0"/>
    </xf>
    <xf numFmtId="3" fontId="8" fillId="0" borderId="2" xfId="0" applyNumberFormat="1" applyFont="1" applyBorder="1" applyAlignment="1" applyProtection="1">
      <alignment vertical="center"/>
      <protection locked="0"/>
    </xf>
    <xf numFmtId="3" fontId="47" fillId="0" borderId="0" xfId="1" applyNumberFormat="1" applyFont="1" applyFill="1" applyBorder="1" applyAlignment="1" applyProtection="1">
      <alignment vertical="center"/>
      <protection locked="0"/>
    </xf>
    <xf numFmtId="3" fontId="47" fillId="0" borderId="6" xfId="1" applyNumberFormat="1" applyFont="1" applyFill="1" applyBorder="1" applyAlignment="1" applyProtection="1">
      <alignment vertical="center"/>
      <protection locked="0"/>
    </xf>
    <xf numFmtId="0" fontId="5" fillId="0" borderId="0" xfId="0" quotePrefix="1" applyFont="1" applyAlignment="1">
      <alignment vertical="center"/>
    </xf>
    <xf numFmtId="0" fontId="12" fillId="0" borderId="0" xfId="0" applyFont="1" applyAlignment="1">
      <alignment horizontal="left" vertical="center"/>
    </xf>
    <xf numFmtId="0" fontId="5" fillId="0" borderId="0" xfId="0" applyFont="1" applyAlignment="1" applyProtection="1">
      <alignment horizontal="left" vertical="center"/>
      <protection locked="0"/>
    </xf>
    <xf numFmtId="3" fontId="5" fillId="7" borderId="23" xfId="0" applyNumberFormat="1" applyFont="1" applyFill="1" applyBorder="1" applyAlignment="1">
      <alignment horizontal="right" vertical="center"/>
    </xf>
    <xf numFmtId="0" fontId="8" fillId="7" borderId="14" xfId="0" applyFont="1" applyFill="1" applyBorder="1" applyAlignment="1">
      <alignment vertical="center"/>
    </xf>
    <xf numFmtId="3" fontId="8" fillId="7" borderId="9" xfId="0" applyNumberFormat="1" applyFont="1" applyFill="1" applyBorder="1" applyAlignment="1">
      <alignment vertical="center"/>
    </xf>
    <xf numFmtId="0" fontId="5" fillId="0" borderId="0" xfId="0" applyFont="1" applyProtection="1">
      <protection locked="0"/>
    </xf>
    <xf numFmtId="0" fontId="12" fillId="0" borderId="3" xfId="0" applyFont="1" applyBorder="1"/>
    <xf numFmtId="0" fontId="8" fillId="0" borderId="0" xfId="0" applyFont="1" applyAlignment="1">
      <alignment vertical="top"/>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49" fontId="5" fillId="0" borderId="0" xfId="0" applyNumberFormat="1" applyFont="1" applyAlignment="1">
      <alignment vertical="top"/>
    </xf>
    <xf numFmtId="49" fontId="5" fillId="0" borderId="0" xfId="0" applyNumberFormat="1" applyFont="1" applyAlignment="1">
      <alignment vertical="top" wrapText="1"/>
    </xf>
    <xf numFmtId="49" fontId="8" fillId="0" borderId="0" xfId="0" applyNumberFormat="1" applyFont="1" applyAlignment="1">
      <alignment vertical="top"/>
    </xf>
    <xf numFmtId="49" fontId="5" fillId="0" borderId="0" xfId="0" applyNumberFormat="1" applyFont="1" applyAlignment="1">
      <alignment horizontal="left" vertical="top" wrapText="1"/>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49" fontId="30" fillId="0" borderId="0" xfId="0" quotePrefix="1" applyNumberFormat="1" applyFont="1" applyAlignment="1">
      <alignment vertical="top" wrapText="1"/>
    </xf>
    <xf numFmtId="0" fontId="30" fillId="0" borderId="0" xfId="0" applyFont="1" applyAlignment="1" applyProtection="1">
      <alignment vertical="top" wrapText="1"/>
      <protection locked="0"/>
    </xf>
    <xf numFmtId="0" fontId="5" fillId="0" borderId="0" xfId="0" applyFont="1" applyAlignment="1" applyProtection="1">
      <alignment wrapText="1"/>
      <protection locked="0"/>
    </xf>
    <xf numFmtId="0" fontId="48" fillId="0" borderId="0" xfId="0" applyFont="1"/>
    <xf numFmtId="0" fontId="49" fillId="0" borderId="0" xfId="0" applyFont="1"/>
    <xf numFmtId="9" fontId="14" fillId="0" borderId="6" xfId="0" applyNumberFormat="1" applyFont="1" applyBorder="1"/>
    <xf numFmtId="9" fontId="5" fillId="0" borderId="0" xfId="5" applyFont="1" applyAlignment="1">
      <alignment vertical="center"/>
    </xf>
    <xf numFmtId="9" fontId="5" fillId="0" borderId="0" xfId="5" applyFont="1" applyAlignment="1" applyProtection="1">
      <alignment vertical="center"/>
      <protection locked="0"/>
    </xf>
    <xf numFmtId="0" fontId="47" fillId="0" borderId="0" xfId="0" applyFont="1" applyAlignment="1">
      <alignment vertical="center"/>
    </xf>
    <xf numFmtId="3" fontId="5" fillId="0" borderId="6" xfId="0" applyNumberFormat="1" applyFont="1" applyBorder="1" applyAlignment="1" applyProtection="1">
      <alignment horizontal="right" vertical="center"/>
      <protection locked="0"/>
    </xf>
    <xf numFmtId="0" fontId="51" fillId="0" borderId="0" xfId="0" applyFont="1"/>
    <xf numFmtId="0" fontId="39" fillId="0" borderId="0" xfId="0" applyFont="1" applyAlignment="1">
      <alignment vertical="top" wrapText="1"/>
    </xf>
    <xf numFmtId="3" fontId="29" fillId="0" borderId="0" xfId="0" applyNumberFormat="1" applyFont="1"/>
    <xf numFmtId="0" fontId="13" fillId="0" borderId="0" xfId="0" applyFont="1" applyAlignment="1">
      <alignment horizontal="left" wrapText="1"/>
    </xf>
    <xf numFmtId="0" fontId="13" fillId="5" borderId="0" xfId="0" applyFont="1" applyFill="1" applyAlignment="1">
      <alignment horizontal="left" vertical="top" wrapText="1"/>
    </xf>
    <xf numFmtId="0" fontId="5" fillId="0" borderId="15" xfId="0" applyFont="1" applyBorder="1" applyAlignment="1">
      <alignment horizontal="left"/>
    </xf>
    <xf numFmtId="0" fontId="5" fillId="0" borderId="0" xfId="0" applyFont="1" applyAlignment="1">
      <alignment horizontal="left"/>
    </xf>
    <xf numFmtId="0" fontId="5" fillId="0" borderId="0" xfId="0" applyFont="1" applyAlignment="1">
      <alignment horizontal="center" vertical="top" wrapText="1"/>
    </xf>
    <xf numFmtId="168" fontId="5" fillId="0" borderId="0" xfId="0" applyNumberFormat="1" applyFont="1"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5" xfId="0" applyFont="1" applyBorder="1" applyAlignment="1">
      <alignment horizontal="center"/>
    </xf>
    <xf numFmtId="0" fontId="5" fillId="0" borderId="0" xfId="0" applyFont="1" applyAlignment="1" applyProtection="1">
      <alignment horizontal="left" vertical="top" wrapText="1"/>
      <protection locked="0"/>
    </xf>
    <xf numFmtId="3" fontId="8" fillId="0" borderId="0" xfId="0" applyNumberFormat="1" applyFont="1" applyAlignment="1">
      <alignment horizontal="left" vertical="top" wrapText="1"/>
    </xf>
    <xf numFmtId="0" fontId="5" fillId="0" borderId="0" xfId="0" applyFont="1" applyAlignment="1">
      <alignment horizontal="center" vertical="top"/>
    </xf>
    <xf numFmtId="0" fontId="4" fillId="0" borderId="3"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14" fontId="5" fillId="5" borderId="7" xfId="0" applyNumberFormat="1" applyFont="1" applyFill="1" applyBorder="1" applyAlignment="1" applyProtection="1">
      <alignment horizontal="center" vertical="center" wrapText="1"/>
      <protection locked="0"/>
    </xf>
    <xf numFmtId="14" fontId="5" fillId="5" borderId="8" xfId="0" applyNumberFormat="1" applyFont="1" applyFill="1" applyBorder="1" applyAlignment="1" applyProtection="1">
      <alignment horizontal="center" vertical="center" wrapText="1"/>
      <protection locked="0"/>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19" fillId="0" borderId="0" xfId="0" applyFont="1" applyAlignment="1">
      <alignment horizontal="left" vertical="top" wrapText="1"/>
    </xf>
    <xf numFmtId="0" fontId="7" fillId="0" borderId="0" xfId="0" applyFont="1" applyAlignment="1">
      <alignment horizontal="center"/>
    </xf>
    <xf numFmtId="4" fontId="19" fillId="0" borderId="0" xfId="0" applyNumberFormat="1" applyFont="1" applyAlignment="1">
      <alignment horizontal="left" vertical="top" wrapText="1"/>
    </xf>
    <xf numFmtId="0" fontId="14" fillId="0" borderId="19" xfId="0" applyFont="1" applyBorder="1" applyAlignment="1">
      <alignment horizontal="left" vertical="top" wrapText="1"/>
    </xf>
    <xf numFmtId="0" fontId="20" fillId="0" borderId="10" xfId="0" applyFont="1" applyBorder="1" applyAlignment="1">
      <alignment horizontal="left" vertical="top" wrapText="1"/>
    </xf>
    <xf numFmtId="0" fontId="20" fillId="0" borderId="19" xfId="0" applyFont="1" applyBorder="1" applyAlignment="1">
      <alignment horizontal="left" vertical="top" wrapText="1"/>
    </xf>
    <xf numFmtId="0" fontId="20" fillId="0" borderId="11" xfId="0" applyFont="1" applyBorder="1" applyAlignment="1">
      <alignment horizontal="left" vertical="top" wrapText="1"/>
    </xf>
    <xf numFmtId="0" fontId="20" fillId="0" borderId="14" xfId="0" applyFont="1" applyBorder="1" applyAlignment="1">
      <alignment horizontal="left" vertical="top" wrapText="1"/>
    </xf>
    <xf numFmtId="0" fontId="20" fillId="0" borderId="3" xfId="0" applyFont="1" applyBorder="1" applyAlignment="1">
      <alignment horizontal="left" vertical="top" wrapText="1"/>
    </xf>
    <xf numFmtId="0" fontId="20" fillId="0" borderId="24"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39" fillId="0" borderId="10" xfId="0" applyFont="1" applyBorder="1" applyAlignment="1">
      <alignment horizontal="left" vertical="top" wrapText="1"/>
    </xf>
    <xf numFmtId="0" fontId="39" fillId="0" borderId="19" xfId="0" applyFont="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9" fillId="0" borderId="0" xfId="0" applyFont="1" applyAlignment="1">
      <alignment horizontal="left" vertical="top" wrapText="1"/>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3" xfId="0" applyFont="1" applyBorder="1" applyAlignment="1">
      <alignment horizontal="left" vertical="top" wrapText="1"/>
    </xf>
    <xf numFmtId="0" fontId="39" fillId="0" borderId="24" xfId="0" applyFont="1" applyBorder="1" applyAlignment="1">
      <alignment horizontal="left" vertical="top" wrapText="1"/>
    </xf>
    <xf numFmtId="0" fontId="13" fillId="0" borderId="0" xfId="2" applyFont="1" applyAlignment="1">
      <alignment horizontal="left" vertical="center" wrapText="1"/>
    </xf>
    <xf numFmtId="0" fontId="4" fillId="2" borderId="7" xfId="0" applyFon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13" fillId="0" borderId="0" xfId="2" applyFont="1" applyAlignment="1">
      <alignment horizontal="left" vertical="top" wrapText="1"/>
    </xf>
    <xf numFmtId="0" fontId="13" fillId="0" borderId="0" xfId="2" applyFont="1" applyAlignment="1">
      <alignment horizontal="left" vertical="center"/>
    </xf>
  </cellXfs>
  <cellStyles count="6">
    <cellStyle name="Komma" xfId="1" builtinId="3"/>
    <cellStyle name="Komma 2" xfId="3" xr:uid="{00000000-0005-0000-0000-000001000000}"/>
    <cellStyle name="Link" xfId="4" builtinId="8"/>
    <cellStyle name="Normal" xfId="0" builtinId="0"/>
    <cellStyle name="Normal 2" xfId="2" xr:uid="{00000000-0005-0000-0000-000004000000}"/>
    <cellStyle name="Procent" xfId="5" builtinId="5"/>
  </cellStyles>
  <dxfs count="29">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800099</xdr:colOff>
      <xdr:row>1</xdr:row>
      <xdr:rowOff>42864</xdr:rowOff>
    </xdr:from>
    <xdr:to>
      <xdr:col>5</xdr:col>
      <xdr:colOff>683793</xdr:colOff>
      <xdr:row>3</xdr:row>
      <xdr:rowOff>161578</xdr:rowOff>
    </xdr:to>
    <xdr:pic>
      <xdr:nvPicPr>
        <xdr:cNvPr id="4" name="Billede 3">
          <a:extLst>
            <a:ext uri="{FF2B5EF4-FFF2-40B4-BE49-F238E27FC236}">
              <a16:creationId xmlns:a16="http://schemas.microsoft.com/office/drawing/2014/main" id="{6B1FF00B-83CC-46FC-BC9B-5074FA3A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4" y="204789"/>
          <a:ext cx="1731544" cy="4425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257175</xdr:colOff>
      <xdr:row>0</xdr:row>
      <xdr:rowOff>161925</xdr:rowOff>
    </xdr:from>
    <xdr:to>
      <xdr:col>6</xdr:col>
      <xdr:colOff>750469</xdr:colOff>
      <xdr:row>3</xdr:row>
      <xdr:rowOff>32989</xdr:rowOff>
    </xdr:to>
    <xdr:pic>
      <xdr:nvPicPr>
        <xdr:cNvPr id="3" name="Billede 2">
          <a:extLst>
            <a:ext uri="{FF2B5EF4-FFF2-40B4-BE49-F238E27FC236}">
              <a16:creationId xmlns:a16="http://schemas.microsoft.com/office/drawing/2014/main" id="{AD453929-2CED-46F3-9308-E59143CBB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1175" y="161925"/>
          <a:ext cx="1731544" cy="4425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1202531</xdr:colOff>
      <xdr:row>0</xdr:row>
      <xdr:rowOff>142875</xdr:rowOff>
    </xdr:from>
    <xdr:to>
      <xdr:col>6</xdr:col>
      <xdr:colOff>1251891</xdr:colOff>
      <xdr:row>2</xdr:row>
      <xdr:rowOff>109189</xdr:rowOff>
    </xdr:to>
    <xdr:pic>
      <xdr:nvPicPr>
        <xdr:cNvPr id="2" name="Billede 1">
          <a:extLst>
            <a:ext uri="{FF2B5EF4-FFF2-40B4-BE49-F238E27FC236}">
              <a16:creationId xmlns:a16="http://schemas.microsoft.com/office/drawing/2014/main" id="{A6A6300D-2D9B-44E0-BA8E-FDF95BAD4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9937" y="142875"/>
          <a:ext cx="1731544" cy="4425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843643</xdr:colOff>
      <xdr:row>0</xdr:row>
      <xdr:rowOff>163286</xdr:rowOff>
    </xdr:from>
    <xdr:to>
      <xdr:col>4</xdr:col>
      <xdr:colOff>450961</xdr:colOff>
      <xdr:row>2</xdr:row>
      <xdr:rowOff>143207</xdr:rowOff>
    </xdr:to>
    <xdr:pic>
      <xdr:nvPicPr>
        <xdr:cNvPr id="2" name="Billede 1">
          <a:extLst>
            <a:ext uri="{FF2B5EF4-FFF2-40B4-BE49-F238E27FC236}">
              <a16:creationId xmlns:a16="http://schemas.microsoft.com/office/drawing/2014/main" id="{4C29F736-F6CA-4972-A20E-04B85145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163286"/>
          <a:ext cx="1731544" cy="4425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1487783</xdr:colOff>
      <xdr:row>0</xdr:row>
      <xdr:rowOff>157428</xdr:rowOff>
    </xdr:from>
    <xdr:to>
      <xdr:col>2</xdr:col>
      <xdr:colOff>850860</xdr:colOff>
      <xdr:row>2</xdr:row>
      <xdr:rowOff>158751</xdr:rowOff>
    </xdr:to>
    <xdr:pic>
      <xdr:nvPicPr>
        <xdr:cNvPr id="2" name="Billede 1">
          <a:extLst>
            <a:ext uri="{FF2B5EF4-FFF2-40B4-BE49-F238E27FC236}">
              <a16:creationId xmlns:a16="http://schemas.microsoft.com/office/drawing/2014/main" id="{DEEF1341-706E-4DF1-897A-8B268440D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200" y="157428"/>
          <a:ext cx="1532660" cy="3823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725783</xdr:colOff>
      <xdr:row>0</xdr:row>
      <xdr:rowOff>119328</xdr:rowOff>
    </xdr:from>
    <xdr:to>
      <xdr:col>6</xdr:col>
      <xdr:colOff>507960</xdr:colOff>
      <xdr:row>3</xdr:row>
      <xdr:rowOff>15876</xdr:rowOff>
    </xdr:to>
    <xdr:pic>
      <xdr:nvPicPr>
        <xdr:cNvPr id="2" name="Billede 1">
          <a:extLst>
            <a:ext uri="{FF2B5EF4-FFF2-40B4-BE49-F238E27FC236}">
              <a16:creationId xmlns:a16="http://schemas.microsoft.com/office/drawing/2014/main" id="{B40D994F-FD8F-42FA-AAC3-B1539B1DD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0983" y="119328"/>
          <a:ext cx="1534777" cy="5632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85725</xdr:colOff>
      <xdr:row>1</xdr:row>
      <xdr:rowOff>76200</xdr:rowOff>
    </xdr:from>
    <xdr:to>
      <xdr:col>8</xdr:col>
      <xdr:colOff>284607</xdr:colOff>
      <xdr:row>4</xdr:row>
      <xdr:rowOff>17145</xdr:rowOff>
    </xdr:to>
    <xdr:pic>
      <xdr:nvPicPr>
        <xdr:cNvPr id="3" name="Billed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475" y="238125"/>
          <a:ext cx="1627632" cy="426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1776411</xdr:colOff>
      <xdr:row>0</xdr:row>
      <xdr:rowOff>95250</xdr:rowOff>
    </xdr:from>
    <xdr:to>
      <xdr:col>4</xdr:col>
      <xdr:colOff>507580</xdr:colOff>
      <xdr:row>2</xdr:row>
      <xdr:rowOff>156814</xdr:rowOff>
    </xdr:to>
    <xdr:pic>
      <xdr:nvPicPr>
        <xdr:cNvPr id="4" name="Billede 3">
          <a:extLst>
            <a:ext uri="{FF2B5EF4-FFF2-40B4-BE49-F238E27FC236}">
              <a16:creationId xmlns:a16="http://schemas.microsoft.com/office/drawing/2014/main" id="{DC68965A-618D-45B6-90C4-D7A589923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1" y="95250"/>
          <a:ext cx="1731544" cy="442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395286</xdr:colOff>
      <xdr:row>0</xdr:row>
      <xdr:rowOff>104775</xdr:rowOff>
    </xdr:from>
    <xdr:to>
      <xdr:col>5</xdr:col>
      <xdr:colOff>498055</xdr:colOff>
      <xdr:row>3</xdr:row>
      <xdr:rowOff>4414</xdr:rowOff>
    </xdr:to>
    <xdr:pic>
      <xdr:nvPicPr>
        <xdr:cNvPr id="6" name="Billede 5">
          <a:extLst>
            <a:ext uri="{FF2B5EF4-FFF2-40B4-BE49-F238E27FC236}">
              <a16:creationId xmlns:a16="http://schemas.microsoft.com/office/drawing/2014/main" id="{CFC1C3C9-6789-422E-A756-1756F8FCE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4286" y="104775"/>
          <a:ext cx="1731544" cy="4425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0</xdr:row>
      <xdr:rowOff>104775</xdr:rowOff>
    </xdr:from>
    <xdr:to>
      <xdr:col>4</xdr:col>
      <xdr:colOff>664744</xdr:colOff>
      <xdr:row>3</xdr:row>
      <xdr:rowOff>4414</xdr:rowOff>
    </xdr:to>
    <xdr:pic>
      <xdr:nvPicPr>
        <xdr:cNvPr id="5" name="Billede 4">
          <a:extLst>
            <a:ext uri="{FF2B5EF4-FFF2-40B4-BE49-F238E27FC236}">
              <a16:creationId xmlns:a16="http://schemas.microsoft.com/office/drawing/2014/main" id="{4380A126-3F78-482D-9B61-8F279C241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04775"/>
          <a:ext cx="1731544" cy="44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561975</xdr:colOff>
      <xdr:row>0</xdr:row>
      <xdr:rowOff>85725</xdr:rowOff>
    </xdr:from>
    <xdr:to>
      <xdr:col>6</xdr:col>
      <xdr:colOff>588544</xdr:colOff>
      <xdr:row>2</xdr:row>
      <xdr:rowOff>147289</xdr:rowOff>
    </xdr:to>
    <xdr:pic>
      <xdr:nvPicPr>
        <xdr:cNvPr id="4" name="Billede 3">
          <a:extLst>
            <a:ext uri="{FF2B5EF4-FFF2-40B4-BE49-F238E27FC236}">
              <a16:creationId xmlns:a16="http://schemas.microsoft.com/office/drawing/2014/main" id="{8D00F9EA-C02A-414A-A1BA-9296AB114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85725"/>
          <a:ext cx="1731544" cy="442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2771775</xdr:colOff>
      <xdr:row>0</xdr:row>
      <xdr:rowOff>66675</xdr:rowOff>
    </xdr:from>
    <xdr:to>
      <xdr:col>4</xdr:col>
      <xdr:colOff>636169</xdr:colOff>
      <xdr:row>3</xdr:row>
      <xdr:rowOff>23464</xdr:rowOff>
    </xdr:to>
    <xdr:pic>
      <xdr:nvPicPr>
        <xdr:cNvPr id="4" name="Billede 3">
          <a:extLst>
            <a:ext uri="{FF2B5EF4-FFF2-40B4-BE49-F238E27FC236}">
              <a16:creationId xmlns:a16="http://schemas.microsoft.com/office/drawing/2014/main" id="{688415C8-74B2-4074-834F-C1A013ED0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66675"/>
          <a:ext cx="1731544" cy="442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428625</xdr:colOff>
      <xdr:row>0</xdr:row>
      <xdr:rowOff>85725</xdr:rowOff>
    </xdr:from>
    <xdr:to>
      <xdr:col>7</xdr:col>
      <xdr:colOff>598069</xdr:colOff>
      <xdr:row>2</xdr:row>
      <xdr:rowOff>147289</xdr:rowOff>
    </xdr:to>
    <xdr:pic>
      <xdr:nvPicPr>
        <xdr:cNvPr id="5" name="Billede 4">
          <a:extLst>
            <a:ext uri="{FF2B5EF4-FFF2-40B4-BE49-F238E27FC236}">
              <a16:creationId xmlns:a16="http://schemas.microsoft.com/office/drawing/2014/main" id="{D7972A57-EE1B-4EA9-8474-1ED251030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85725"/>
          <a:ext cx="1731544" cy="4425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2743200</xdr:colOff>
      <xdr:row>0</xdr:row>
      <xdr:rowOff>104775</xdr:rowOff>
    </xdr:from>
    <xdr:to>
      <xdr:col>4</xdr:col>
      <xdr:colOff>598069</xdr:colOff>
      <xdr:row>3</xdr:row>
      <xdr:rowOff>4414</xdr:rowOff>
    </xdr:to>
    <xdr:pic>
      <xdr:nvPicPr>
        <xdr:cNvPr id="2" name="Billede 1">
          <a:extLst>
            <a:ext uri="{FF2B5EF4-FFF2-40B4-BE49-F238E27FC236}">
              <a16:creationId xmlns:a16="http://schemas.microsoft.com/office/drawing/2014/main" id="{9FEC18F9-B433-42D7-B773-EEB2855CF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5" y="104775"/>
          <a:ext cx="1731544" cy="442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3952875</xdr:colOff>
      <xdr:row>0</xdr:row>
      <xdr:rowOff>114300</xdr:rowOff>
    </xdr:from>
    <xdr:ext cx="1627632" cy="426720"/>
    <xdr:pic>
      <xdr:nvPicPr>
        <xdr:cNvPr id="2" name="Billede 1">
          <a:extLst>
            <a:ext uri="{FF2B5EF4-FFF2-40B4-BE49-F238E27FC236}">
              <a16:creationId xmlns:a16="http://schemas.microsoft.com/office/drawing/2014/main" id="{C5595094-9F96-4B56-AA79-F8EBE72BE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14300"/>
          <a:ext cx="1627632" cy="4267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tabColor rgb="FFFF33CC"/>
  </sheetPr>
  <dimension ref="A11:W25"/>
  <sheetViews>
    <sheetView zoomScale="90" zoomScaleNormal="90" zoomScaleSheetLayoutView="106" workbookViewId="0">
      <selection activeCell="A2" sqref="A2"/>
    </sheetView>
  </sheetViews>
  <sheetFormatPr defaultColWidth="8.85546875" defaultRowHeight="12.75" x14ac:dyDescent="0.2"/>
  <cols>
    <col min="1" max="6" width="13.85546875" customWidth="1"/>
  </cols>
  <sheetData>
    <row r="11" spans="1:19" ht="15" x14ac:dyDescent="0.3">
      <c r="A11" s="25"/>
      <c r="B11" s="25"/>
      <c r="C11" s="25"/>
      <c r="D11" s="25"/>
      <c r="E11" s="25"/>
      <c r="F11" s="25"/>
      <c r="G11" s="25"/>
      <c r="H11" s="25"/>
      <c r="I11" s="25"/>
      <c r="J11" s="25"/>
      <c r="K11" s="25"/>
      <c r="L11" s="25"/>
      <c r="M11" s="25"/>
    </row>
    <row r="12" spans="1:19" ht="15" x14ac:dyDescent="0.3">
      <c r="A12" s="25"/>
      <c r="B12" s="25"/>
      <c r="C12" s="25"/>
      <c r="D12" s="25"/>
      <c r="E12" s="25"/>
      <c r="F12" s="25"/>
      <c r="H12" s="25"/>
      <c r="I12" s="25"/>
      <c r="J12" s="25"/>
      <c r="K12" s="25"/>
      <c r="L12" s="25"/>
      <c r="M12" s="25"/>
    </row>
    <row r="13" spans="1:19" ht="27" x14ac:dyDescent="0.5">
      <c r="B13" s="33"/>
      <c r="C13" s="33"/>
      <c r="D13" s="33"/>
      <c r="E13" s="33"/>
      <c r="F13" s="33"/>
      <c r="G13" s="28" t="s">
        <v>0</v>
      </c>
      <c r="H13" s="25"/>
      <c r="I13" s="25"/>
      <c r="J13" s="25"/>
      <c r="K13" s="25"/>
      <c r="L13" s="25"/>
      <c r="M13" s="25"/>
      <c r="N13" s="25"/>
      <c r="O13" s="25"/>
      <c r="P13" s="25"/>
      <c r="Q13" s="25"/>
      <c r="R13" s="25"/>
      <c r="S13" s="25"/>
    </row>
    <row r="14" spans="1:19" ht="41.25" x14ac:dyDescent="0.75">
      <c r="A14" s="177" t="str">
        <f>"ÅRSREGNSKAB " &amp; Basisoplysninger!C10</f>
        <v>ÅRSREGNSKAB 2025</v>
      </c>
      <c r="B14" s="178"/>
      <c r="C14" s="178"/>
      <c r="D14" s="34"/>
      <c r="E14" s="34"/>
      <c r="F14" s="34"/>
      <c r="G14" s="35" t="s">
        <v>1</v>
      </c>
      <c r="H14" s="25"/>
      <c r="I14" s="25"/>
      <c r="J14" s="25"/>
      <c r="K14" s="25"/>
      <c r="L14" s="25"/>
      <c r="M14" s="25"/>
    </row>
    <row r="15" spans="1:19" ht="21" x14ac:dyDescent="0.4">
      <c r="A15" s="34"/>
      <c r="B15" s="34"/>
      <c r="C15" s="34"/>
      <c r="D15" s="34"/>
      <c r="E15" s="34"/>
      <c r="F15" s="34"/>
      <c r="G15" s="25"/>
      <c r="H15" s="25"/>
      <c r="I15" s="25"/>
      <c r="J15" s="25"/>
      <c r="K15" s="25"/>
      <c r="L15" s="25"/>
      <c r="M15" s="25"/>
    </row>
    <row r="16" spans="1:19" ht="21" x14ac:dyDescent="0.4">
      <c r="A16" s="34"/>
      <c r="B16" s="34"/>
      <c r="C16" s="34"/>
      <c r="D16" s="34"/>
      <c r="E16" s="34"/>
      <c r="F16" s="34"/>
      <c r="G16" s="25"/>
      <c r="H16" s="25"/>
      <c r="I16" s="25"/>
      <c r="J16" s="25"/>
      <c r="K16" s="25"/>
      <c r="L16" s="25"/>
      <c r="M16" s="25"/>
    </row>
    <row r="17" spans="1:23" ht="30" customHeight="1" x14ac:dyDescent="0.5">
      <c r="A17" s="33" t="str">
        <f xml:space="preserve"> Basisoplysninger!C11 &amp; " LOKALFORENING "</f>
        <v xml:space="preserve">BALLERUP LOKALFORENING </v>
      </c>
      <c r="B17" s="36"/>
      <c r="C17" s="36"/>
      <c r="D17" s="36"/>
      <c r="E17" s="36"/>
      <c r="F17" s="36"/>
      <c r="G17" s="35" t="s">
        <v>2</v>
      </c>
      <c r="H17" s="25"/>
      <c r="I17" s="25"/>
      <c r="J17" s="25"/>
      <c r="K17" s="25"/>
      <c r="L17" s="25"/>
      <c r="M17" s="25"/>
      <c r="N17" s="25"/>
      <c r="O17" s="25"/>
      <c r="P17" s="25"/>
      <c r="Q17" s="25"/>
      <c r="R17" s="25"/>
      <c r="S17" s="25"/>
      <c r="T17" s="25"/>
      <c r="U17" s="25"/>
      <c r="V17" s="25"/>
      <c r="W17" s="25"/>
    </row>
    <row r="18" spans="1:23" ht="21" x14ac:dyDescent="0.4">
      <c r="A18" s="34"/>
      <c r="B18" s="34"/>
      <c r="C18" s="34"/>
      <c r="D18" s="34"/>
      <c r="E18" s="34"/>
      <c r="F18" s="34"/>
      <c r="G18" s="25"/>
      <c r="H18" s="25"/>
      <c r="I18" s="25"/>
      <c r="J18" s="25"/>
      <c r="K18" s="25"/>
      <c r="L18" s="25"/>
      <c r="M18" s="25"/>
    </row>
    <row r="19" spans="1:23" ht="21" x14ac:dyDescent="0.4">
      <c r="A19" s="34"/>
      <c r="B19" s="34"/>
      <c r="C19" s="34"/>
      <c r="D19" s="34"/>
      <c r="E19" s="34"/>
      <c r="F19" s="34"/>
      <c r="G19" s="25"/>
      <c r="H19" s="25"/>
      <c r="I19" s="25"/>
      <c r="J19" s="25"/>
      <c r="K19" s="25"/>
      <c r="L19" s="25"/>
      <c r="M19" s="25"/>
    </row>
    <row r="20" spans="1:23" ht="27" x14ac:dyDescent="0.5">
      <c r="A20" s="33" t="str">
        <f>"CVR-NR.: " &amp; Basisoplysninger!C12</f>
        <v>CVR-NR.: 39515946</v>
      </c>
      <c r="B20" s="25"/>
      <c r="C20" s="25"/>
      <c r="D20" s="25"/>
      <c r="E20" s="25"/>
      <c r="F20" s="25"/>
      <c r="G20" s="35" t="s">
        <v>3</v>
      </c>
      <c r="H20" s="25"/>
      <c r="I20" s="25"/>
      <c r="J20" s="25"/>
      <c r="K20" s="25"/>
      <c r="L20" s="25"/>
      <c r="M20" s="25"/>
    </row>
    <row r="21" spans="1:23" ht="15" x14ac:dyDescent="0.3">
      <c r="A21" s="25"/>
      <c r="B21" s="25"/>
      <c r="C21" s="25"/>
      <c r="D21" s="25"/>
      <c r="E21" s="25"/>
      <c r="F21" s="25"/>
      <c r="G21" s="25"/>
      <c r="H21" s="25"/>
      <c r="I21" s="25"/>
      <c r="J21" s="25"/>
      <c r="K21" s="25"/>
      <c r="L21" s="25"/>
      <c r="M21" s="25"/>
    </row>
    <row r="22" spans="1:23" ht="21" x14ac:dyDescent="0.4">
      <c r="B22" s="36"/>
      <c r="C22" s="36"/>
      <c r="D22" s="36"/>
      <c r="E22" s="36"/>
      <c r="F22" s="36"/>
      <c r="H22" s="25"/>
      <c r="I22" s="25"/>
      <c r="J22" s="25"/>
      <c r="K22" s="25"/>
      <c r="L22" s="25"/>
      <c r="M22" s="25"/>
    </row>
    <row r="23" spans="1:23" ht="15" x14ac:dyDescent="0.3">
      <c r="A23" s="25"/>
      <c r="B23" s="25"/>
      <c r="C23" s="25"/>
      <c r="D23" s="25"/>
      <c r="E23" s="25"/>
      <c r="F23" s="25"/>
      <c r="G23" s="25"/>
      <c r="H23" s="25"/>
      <c r="I23" s="25"/>
      <c r="J23" s="25"/>
      <c r="K23" s="25"/>
      <c r="L23" s="25"/>
      <c r="M23" s="25"/>
    </row>
    <row r="24" spans="1:23" ht="15" x14ac:dyDescent="0.3">
      <c r="A24" s="25"/>
      <c r="B24" s="25"/>
      <c r="C24" s="25"/>
      <c r="D24" s="25"/>
      <c r="E24" s="25"/>
      <c r="F24" s="25"/>
      <c r="G24" s="25"/>
      <c r="H24" s="25"/>
      <c r="I24" s="25"/>
      <c r="J24" s="25"/>
      <c r="K24" s="25"/>
      <c r="L24" s="25"/>
      <c r="M24" s="25"/>
    </row>
    <row r="25" spans="1:23" ht="15" x14ac:dyDescent="0.3">
      <c r="A25" s="25"/>
      <c r="B25" s="25"/>
      <c r="C25" s="25"/>
      <c r="D25" s="25"/>
      <c r="E25" s="25"/>
      <c r="F25" s="25"/>
      <c r="G25" s="25"/>
      <c r="H25" s="25"/>
      <c r="I25" s="25"/>
      <c r="J25" s="25"/>
      <c r="K25" s="25"/>
      <c r="L25" s="25"/>
      <c r="M25" s="25"/>
    </row>
  </sheetData>
  <sheetProtection algorithmName="SHA-512" hashValue="pf+TnsHzMVLIJ8SwqJlk715O+QHJRhHNAepSLrYTpYOAbd+VkyZtkucGxiyNB5XfGFbGNinM7tNEtUOI+B/FeA==" saltValue="acoE98d8Jn1WKC1Mp2En9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pageSetUpPr fitToPage="1"/>
  </sheetPr>
  <dimension ref="A3:O22"/>
  <sheetViews>
    <sheetView topLeftCell="A2" zoomScale="90" zoomScaleNormal="90" workbookViewId="0">
      <selection activeCell="H17" sqref="H17:O22"/>
    </sheetView>
  </sheetViews>
  <sheetFormatPr defaultColWidth="9.140625" defaultRowHeight="15" x14ac:dyDescent="0.3"/>
  <cols>
    <col min="1" max="1" width="2.7109375" style="25" customWidth="1"/>
    <col min="2" max="2" width="21.42578125" style="25" customWidth="1"/>
    <col min="3" max="3" width="18.42578125" style="39" customWidth="1"/>
    <col min="4" max="6" width="18.42578125" style="25" customWidth="1"/>
    <col min="7" max="7" width="14.28515625" style="25" customWidth="1"/>
    <col min="8" max="8" width="9.140625" style="25" customWidth="1"/>
    <col min="9" max="16384" width="9.140625" style="25"/>
  </cols>
  <sheetData>
    <row r="3" spans="1:10" x14ac:dyDescent="0.3">
      <c r="H3" s="28" t="s">
        <v>0</v>
      </c>
    </row>
    <row r="4" spans="1:10" ht="22.5" x14ac:dyDescent="0.4">
      <c r="A4" s="75" t="str">
        <f>Basisoplysninger!C11 &amp; " LOKALFORENING " &amp; Basisoplysninger!C10</f>
        <v>BALLERUP LOKALFORENING 2025</v>
      </c>
      <c r="H4" s="35" t="s">
        <v>285</v>
      </c>
    </row>
    <row r="5" spans="1:10" ht="23.25" thickBot="1" x14ac:dyDescent="0.45">
      <c r="A5" s="76" t="s">
        <v>286</v>
      </c>
      <c r="B5" s="37"/>
      <c r="C5" s="37"/>
      <c r="D5" s="37"/>
      <c r="E5" s="37"/>
      <c r="F5" s="37"/>
      <c r="G5" s="37"/>
    </row>
    <row r="6" spans="1:10" s="73" customFormat="1" ht="18" x14ac:dyDescent="0.35">
      <c r="B6" s="27"/>
      <c r="C6" s="27"/>
      <c r="D6" s="27"/>
      <c r="E6" s="27"/>
      <c r="F6" s="27"/>
      <c r="G6" s="27"/>
    </row>
    <row r="7" spans="1:10" s="73" customFormat="1" ht="18" x14ac:dyDescent="0.35">
      <c r="C7" s="27"/>
      <c r="D7" s="27"/>
      <c r="E7" s="27"/>
      <c r="F7" s="27"/>
      <c r="G7" s="27"/>
    </row>
    <row r="8" spans="1:10" ht="21" x14ac:dyDescent="0.4">
      <c r="B8" s="34" t="s">
        <v>583</v>
      </c>
      <c r="H8" s="35" t="s">
        <v>287</v>
      </c>
    </row>
    <row r="9" spans="1:10" ht="18" x14ac:dyDescent="0.35">
      <c r="B9" s="77" t="s">
        <v>288</v>
      </c>
      <c r="C9" s="77" t="s">
        <v>289</v>
      </c>
      <c r="D9" s="27"/>
      <c r="E9" s="27"/>
      <c r="F9" s="27"/>
    </row>
    <row r="10" spans="1:10" ht="18" x14ac:dyDescent="0.35">
      <c r="B10" s="78" t="s">
        <v>290</v>
      </c>
      <c r="C10" s="81">
        <v>2025</v>
      </c>
      <c r="D10" s="27"/>
      <c r="E10" s="27"/>
      <c r="F10" s="27"/>
      <c r="H10" s="35" t="s">
        <v>291</v>
      </c>
      <c r="I10" s="35"/>
      <c r="J10" s="35"/>
    </row>
    <row r="11" spans="1:10" ht="18" x14ac:dyDescent="0.35">
      <c r="B11" s="78" t="s">
        <v>292</v>
      </c>
      <c r="C11" s="81" t="s">
        <v>586</v>
      </c>
      <c r="D11" s="27"/>
      <c r="E11" s="27"/>
      <c r="F11" s="27"/>
      <c r="H11" s="35" t="s">
        <v>293</v>
      </c>
      <c r="I11" s="35"/>
      <c r="J11" s="35"/>
    </row>
    <row r="12" spans="1:10" ht="18" x14ac:dyDescent="0.35">
      <c r="B12" s="78" t="s">
        <v>294</v>
      </c>
      <c r="C12" s="81">
        <v>39515946</v>
      </c>
      <c r="D12" s="27"/>
      <c r="E12" s="27"/>
      <c r="F12" s="27"/>
      <c r="H12" s="35" t="s">
        <v>295</v>
      </c>
      <c r="I12" s="35"/>
      <c r="J12" s="35"/>
    </row>
    <row r="13" spans="1:10" x14ac:dyDescent="0.3">
      <c r="C13" s="25"/>
      <c r="D13" s="74"/>
      <c r="E13" s="74"/>
      <c r="F13" s="74"/>
    </row>
    <row r="14" spans="1:10" x14ac:dyDescent="0.3">
      <c r="B14" s="35"/>
    </row>
    <row r="15" spans="1:10" ht="21" x14ac:dyDescent="0.4">
      <c r="B15" s="34" t="s">
        <v>584</v>
      </c>
      <c r="C15" s="34"/>
      <c r="D15" s="34"/>
      <c r="E15" s="34"/>
      <c r="F15" s="34"/>
      <c r="G15" s="34"/>
    </row>
    <row r="16" spans="1:10" x14ac:dyDescent="0.3">
      <c r="B16" s="77" t="s">
        <v>288</v>
      </c>
      <c r="C16" s="77" t="s">
        <v>27</v>
      </c>
      <c r="D16" s="77" t="s">
        <v>28</v>
      </c>
      <c r="E16" s="77" t="s">
        <v>296</v>
      </c>
      <c r="F16" s="77" t="s">
        <v>297</v>
      </c>
      <c r="G16" s="79" t="s">
        <v>298</v>
      </c>
    </row>
    <row r="17" spans="2:15" ht="15" customHeight="1" x14ac:dyDescent="0.3">
      <c r="B17" s="78" t="s">
        <v>299</v>
      </c>
      <c r="C17" s="82" t="s">
        <v>600</v>
      </c>
      <c r="D17" s="82" t="s">
        <v>601</v>
      </c>
      <c r="E17" s="82" t="s">
        <v>602</v>
      </c>
      <c r="F17" s="82" t="s">
        <v>603</v>
      </c>
      <c r="G17" s="83" t="s">
        <v>604</v>
      </c>
      <c r="H17" s="307" t="s">
        <v>300</v>
      </c>
      <c r="I17" s="308"/>
      <c r="J17" s="308"/>
      <c r="K17" s="308"/>
      <c r="L17" s="308"/>
      <c r="M17" s="308"/>
      <c r="N17" s="308"/>
      <c r="O17" s="308"/>
    </row>
    <row r="18" spans="2:15" ht="15" customHeight="1" x14ac:dyDescent="0.3">
      <c r="B18" s="78" t="s">
        <v>301</v>
      </c>
      <c r="C18" s="80"/>
      <c r="D18" s="80"/>
      <c r="E18" s="82"/>
      <c r="F18" s="82"/>
      <c r="G18" s="80"/>
      <c r="H18" s="307"/>
      <c r="I18" s="308"/>
      <c r="J18" s="308"/>
      <c r="K18" s="308"/>
      <c r="L18" s="308"/>
      <c r="M18" s="308"/>
      <c r="N18" s="308"/>
      <c r="O18" s="308"/>
    </row>
    <row r="19" spans="2:15" ht="15" customHeight="1" x14ac:dyDescent="0.3">
      <c r="B19" s="78" t="s">
        <v>302</v>
      </c>
      <c r="C19" s="80"/>
      <c r="D19" s="80"/>
      <c r="E19" s="82"/>
      <c r="F19" s="82"/>
      <c r="G19" s="80"/>
      <c r="H19" s="307"/>
      <c r="I19" s="308"/>
      <c r="J19" s="308"/>
      <c r="K19" s="308"/>
      <c r="L19" s="308"/>
      <c r="M19" s="308"/>
      <c r="N19" s="308"/>
      <c r="O19" s="308"/>
    </row>
    <row r="20" spans="2:15" ht="15" customHeight="1" x14ac:dyDescent="0.3">
      <c r="B20" s="78" t="s">
        <v>303</v>
      </c>
      <c r="C20" s="80"/>
      <c r="D20" s="80"/>
      <c r="E20" s="84"/>
      <c r="F20" s="84"/>
      <c r="G20" s="80"/>
      <c r="H20" s="307"/>
      <c r="I20" s="308"/>
      <c r="J20" s="308"/>
      <c r="K20" s="308"/>
      <c r="L20" s="308"/>
      <c r="M20" s="308"/>
      <c r="N20" s="308"/>
      <c r="O20" s="308"/>
    </row>
    <row r="21" spans="2:15" ht="15" customHeight="1" x14ac:dyDescent="0.3">
      <c r="B21" s="78" t="s">
        <v>304</v>
      </c>
      <c r="C21" s="303"/>
      <c r="D21" s="304"/>
      <c r="E21" s="303"/>
      <c r="F21" s="304"/>
      <c r="G21" s="80"/>
      <c r="H21" s="307"/>
      <c r="I21" s="308"/>
      <c r="J21" s="308"/>
      <c r="K21" s="308"/>
      <c r="L21" s="308"/>
      <c r="M21" s="308"/>
      <c r="N21" s="308"/>
      <c r="O21" s="308"/>
    </row>
    <row r="22" spans="2:15" ht="15" customHeight="1" x14ac:dyDescent="0.3">
      <c r="B22" s="78" t="s">
        <v>305</v>
      </c>
      <c r="C22" s="305"/>
      <c r="D22" s="306"/>
      <c r="E22" s="305"/>
      <c r="F22" s="306"/>
      <c r="G22" s="85"/>
      <c r="H22" s="307"/>
      <c r="I22" s="308"/>
      <c r="J22" s="308"/>
      <c r="K22" s="308"/>
      <c r="L22" s="308"/>
      <c r="M22" s="308"/>
      <c r="N22" s="308"/>
      <c r="O22" s="308"/>
    </row>
  </sheetData>
  <mergeCells count="5">
    <mergeCell ref="C21:D21"/>
    <mergeCell ref="E21:F21"/>
    <mergeCell ref="C22:D22"/>
    <mergeCell ref="E22:F22"/>
    <mergeCell ref="H17:O22"/>
  </mergeCells>
  <pageMargins left="0.7" right="0.7" top="0.75" bottom="0.75" header="0.3" footer="0.3"/>
  <pageSetup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pageSetUpPr fitToPage="1"/>
  </sheetPr>
  <dimension ref="A2:O286"/>
  <sheetViews>
    <sheetView tabSelected="1" zoomScale="70" zoomScaleNormal="70" workbookViewId="0">
      <pane ySplit="6" topLeftCell="A9" activePane="bottomLeft" state="frozen"/>
      <selection pane="bottomLeft" activeCell="E32" sqref="E32"/>
    </sheetView>
  </sheetViews>
  <sheetFormatPr defaultColWidth="8.85546875" defaultRowHeight="15" x14ac:dyDescent="0.3"/>
  <cols>
    <col min="1" max="1" width="13.140625" style="25" customWidth="1"/>
    <col min="2" max="2" width="21.28515625" style="25" customWidth="1"/>
    <col min="3" max="3" width="54.28515625" style="25" customWidth="1"/>
    <col min="4" max="4" width="1.42578125" style="25" customWidth="1"/>
    <col min="5" max="5" width="23.7109375" style="25" customWidth="1"/>
    <col min="6" max="6" width="1.42578125" style="25" customWidth="1"/>
    <col min="7" max="7" width="22.140625" style="25" bestFit="1" customWidth="1"/>
    <col min="8" max="14" width="29.7109375" style="25" customWidth="1"/>
    <col min="15" max="15" width="16" style="25" customWidth="1"/>
    <col min="16" max="251" width="9.140625" style="25"/>
    <col min="252" max="252" width="8.28515625" style="25" bestFit="1" customWidth="1"/>
    <col min="253" max="253" width="59.7109375" style="25" customWidth="1"/>
    <col min="254" max="254" width="0" style="25" hidden="1" customWidth="1"/>
    <col min="255" max="255" width="20.28515625" style="25" bestFit="1" customWidth="1"/>
    <col min="256" max="264" width="0" style="25" hidden="1" customWidth="1"/>
    <col min="265" max="507" width="9.140625" style="25"/>
    <col min="508" max="508" width="8.28515625" style="25" bestFit="1" customWidth="1"/>
    <col min="509" max="509" width="59.7109375" style="25" customWidth="1"/>
    <col min="510" max="510" width="0" style="25" hidden="1" customWidth="1"/>
    <col min="511" max="511" width="20.28515625" style="25" bestFit="1" customWidth="1"/>
    <col min="512" max="520" width="0" style="25" hidden="1" customWidth="1"/>
    <col min="521" max="763" width="9.140625" style="25"/>
    <col min="764" max="764" width="8.28515625" style="25" bestFit="1" customWidth="1"/>
    <col min="765" max="765" width="59.7109375" style="25" customWidth="1"/>
    <col min="766" max="766" width="0" style="25" hidden="1" customWidth="1"/>
    <col min="767" max="767" width="20.28515625" style="25" bestFit="1" customWidth="1"/>
    <col min="768" max="776" width="0" style="25" hidden="1" customWidth="1"/>
    <col min="777" max="1019" width="9.140625" style="25"/>
    <col min="1020" max="1020" width="8.28515625" style="25" bestFit="1" customWidth="1"/>
    <col min="1021" max="1021" width="59.7109375" style="25" customWidth="1"/>
    <col min="1022" max="1022" width="0" style="25" hidden="1" customWidth="1"/>
    <col min="1023" max="1023" width="20.28515625" style="25" bestFit="1" customWidth="1"/>
    <col min="1024" max="1032" width="0" style="25" hidden="1" customWidth="1"/>
    <col min="1033" max="1275" width="9.140625" style="25"/>
    <col min="1276" max="1276" width="8.28515625" style="25" bestFit="1" customWidth="1"/>
    <col min="1277" max="1277" width="59.7109375" style="25" customWidth="1"/>
    <col min="1278" max="1278" width="0" style="25" hidden="1" customWidth="1"/>
    <col min="1279" max="1279" width="20.28515625" style="25" bestFit="1" customWidth="1"/>
    <col min="1280" max="1288" width="0" style="25" hidden="1" customWidth="1"/>
    <col min="1289" max="1531" width="9.140625" style="25"/>
    <col min="1532" max="1532" width="8.28515625" style="25" bestFit="1" customWidth="1"/>
    <col min="1533" max="1533" width="59.7109375" style="25" customWidth="1"/>
    <col min="1534" max="1534" width="0" style="25" hidden="1" customWidth="1"/>
    <col min="1535" max="1535" width="20.28515625" style="25" bestFit="1" customWidth="1"/>
    <col min="1536" max="1544" width="0" style="25" hidden="1" customWidth="1"/>
    <col min="1545" max="1787" width="9.140625" style="25"/>
    <col min="1788" max="1788" width="8.28515625" style="25" bestFit="1" customWidth="1"/>
    <col min="1789" max="1789" width="59.7109375" style="25" customWidth="1"/>
    <col min="1790" max="1790" width="0" style="25" hidden="1" customWidth="1"/>
    <col min="1791" max="1791" width="20.28515625" style="25" bestFit="1" customWidth="1"/>
    <col min="1792" max="1800" width="0" style="25" hidden="1" customWidth="1"/>
    <col min="1801" max="2043" width="9.140625" style="25"/>
    <col min="2044" max="2044" width="8.28515625" style="25" bestFit="1" customWidth="1"/>
    <col min="2045" max="2045" width="59.7109375" style="25" customWidth="1"/>
    <col min="2046" max="2046" width="0" style="25" hidden="1" customWidth="1"/>
    <col min="2047" max="2047" width="20.28515625" style="25" bestFit="1" customWidth="1"/>
    <col min="2048" max="2056" width="0" style="25" hidden="1" customWidth="1"/>
    <col min="2057" max="2299" width="9.140625" style="25"/>
    <col min="2300" max="2300" width="8.28515625" style="25" bestFit="1" customWidth="1"/>
    <col min="2301" max="2301" width="59.7109375" style="25" customWidth="1"/>
    <col min="2302" max="2302" width="0" style="25" hidden="1" customWidth="1"/>
    <col min="2303" max="2303" width="20.28515625" style="25" bestFit="1" customWidth="1"/>
    <col min="2304" max="2312" width="0" style="25" hidden="1" customWidth="1"/>
    <col min="2313" max="2555" width="9.140625" style="25"/>
    <col min="2556" max="2556" width="8.28515625" style="25" bestFit="1" customWidth="1"/>
    <col min="2557" max="2557" width="59.7109375" style="25" customWidth="1"/>
    <col min="2558" max="2558" width="0" style="25" hidden="1" customWidth="1"/>
    <col min="2559" max="2559" width="20.28515625" style="25" bestFit="1" customWidth="1"/>
    <col min="2560" max="2568" width="0" style="25" hidden="1" customWidth="1"/>
    <col min="2569" max="2811" width="9.140625" style="25"/>
    <col min="2812" max="2812" width="8.28515625" style="25" bestFit="1" customWidth="1"/>
    <col min="2813" max="2813" width="59.7109375" style="25" customWidth="1"/>
    <col min="2814" max="2814" width="0" style="25" hidden="1" customWidth="1"/>
    <col min="2815" max="2815" width="20.28515625" style="25" bestFit="1" customWidth="1"/>
    <col min="2816" max="2824" width="0" style="25" hidden="1" customWidth="1"/>
    <col min="2825" max="3067" width="9.140625" style="25"/>
    <col min="3068" max="3068" width="8.28515625" style="25" bestFit="1" customWidth="1"/>
    <col min="3069" max="3069" width="59.7109375" style="25" customWidth="1"/>
    <col min="3070" max="3070" width="0" style="25" hidden="1" customWidth="1"/>
    <col min="3071" max="3071" width="20.28515625" style="25" bestFit="1" customWidth="1"/>
    <col min="3072" max="3080" width="0" style="25" hidden="1" customWidth="1"/>
    <col min="3081" max="3323" width="9.140625" style="25"/>
    <col min="3324" max="3324" width="8.28515625" style="25" bestFit="1" customWidth="1"/>
    <col min="3325" max="3325" width="59.7109375" style="25" customWidth="1"/>
    <col min="3326" max="3326" width="0" style="25" hidden="1" customWidth="1"/>
    <col min="3327" max="3327" width="20.28515625" style="25" bestFit="1" customWidth="1"/>
    <col min="3328" max="3336" width="0" style="25" hidden="1" customWidth="1"/>
    <col min="3337" max="3579" width="9.140625" style="25"/>
    <col min="3580" max="3580" width="8.28515625" style="25" bestFit="1" customWidth="1"/>
    <col min="3581" max="3581" width="59.7109375" style="25" customWidth="1"/>
    <col min="3582" max="3582" width="0" style="25" hidden="1" customWidth="1"/>
    <col min="3583" max="3583" width="20.28515625" style="25" bestFit="1" customWidth="1"/>
    <col min="3584" max="3592" width="0" style="25" hidden="1" customWidth="1"/>
    <col min="3593" max="3835" width="9.140625" style="25"/>
    <col min="3836" max="3836" width="8.28515625" style="25" bestFit="1" customWidth="1"/>
    <col min="3837" max="3837" width="59.7109375" style="25" customWidth="1"/>
    <col min="3838" max="3838" width="0" style="25" hidden="1" customWidth="1"/>
    <col min="3839" max="3839" width="20.28515625" style="25" bestFit="1" customWidth="1"/>
    <col min="3840" max="3848" width="0" style="25" hidden="1" customWidth="1"/>
    <col min="3849" max="4091" width="9.140625" style="25"/>
    <col min="4092" max="4092" width="8.28515625" style="25" bestFit="1" customWidth="1"/>
    <col min="4093" max="4093" width="59.7109375" style="25" customWidth="1"/>
    <col min="4094" max="4094" width="0" style="25" hidden="1" customWidth="1"/>
    <col min="4095" max="4095" width="20.28515625" style="25" bestFit="1" customWidth="1"/>
    <col min="4096" max="4104" width="0" style="25" hidden="1" customWidth="1"/>
    <col min="4105" max="4347" width="9.140625" style="25"/>
    <col min="4348" max="4348" width="8.28515625" style="25" bestFit="1" customWidth="1"/>
    <col min="4349" max="4349" width="59.7109375" style="25" customWidth="1"/>
    <col min="4350" max="4350" width="0" style="25" hidden="1" customWidth="1"/>
    <col min="4351" max="4351" width="20.28515625" style="25" bestFit="1" customWidth="1"/>
    <col min="4352" max="4360" width="0" style="25" hidden="1" customWidth="1"/>
    <col min="4361" max="4603" width="9.140625" style="25"/>
    <col min="4604" max="4604" width="8.28515625" style="25" bestFit="1" customWidth="1"/>
    <col min="4605" max="4605" width="59.7109375" style="25" customWidth="1"/>
    <col min="4606" max="4606" width="0" style="25" hidden="1" customWidth="1"/>
    <col min="4607" max="4607" width="20.28515625" style="25" bestFit="1" customWidth="1"/>
    <col min="4608" max="4616" width="0" style="25" hidden="1" customWidth="1"/>
    <col min="4617" max="4859" width="9.140625" style="25"/>
    <col min="4860" max="4860" width="8.28515625" style="25" bestFit="1" customWidth="1"/>
    <col min="4861" max="4861" width="59.7109375" style="25" customWidth="1"/>
    <col min="4862" max="4862" width="0" style="25" hidden="1" customWidth="1"/>
    <col min="4863" max="4863" width="20.28515625" style="25" bestFit="1" customWidth="1"/>
    <col min="4864" max="4872" width="0" style="25" hidden="1" customWidth="1"/>
    <col min="4873" max="5115" width="9.140625" style="25"/>
    <col min="5116" max="5116" width="8.28515625" style="25" bestFit="1" customWidth="1"/>
    <col min="5117" max="5117" width="59.7109375" style="25" customWidth="1"/>
    <col min="5118" max="5118" width="0" style="25" hidden="1" customWidth="1"/>
    <col min="5119" max="5119" width="20.28515625" style="25" bestFit="1" customWidth="1"/>
    <col min="5120" max="5128" width="0" style="25" hidden="1" customWidth="1"/>
    <col min="5129" max="5371" width="9.140625" style="25"/>
    <col min="5372" max="5372" width="8.28515625" style="25" bestFit="1" customWidth="1"/>
    <col min="5373" max="5373" width="59.7109375" style="25" customWidth="1"/>
    <col min="5374" max="5374" width="0" style="25" hidden="1" customWidth="1"/>
    <col min="5375" max="5375" width="20.28515625" style="25" bestFit="1" customWidth="1"/>
    <col min="5376" max="5384" width="0" style="25" hidden="1" customWidth="1"/>
    <col min="5385" max="5627" width="9.140625" style="25"/>
    <col min="5628" max="5628" width="8.28515625" style="25" bestFit="1" customWidth="1"/>
    <col min="5629" max="5629" width="59.7109375" style="25" customWidth="1"/>
    <col min="5630" max="5630" width="0" style="25" hidden="1" customWidth="1"/>
    <col min="5631" max="5631" width="20.28515625" style="25" bestFit="1" customWidth="1"/>
    <col min="5632" max="5640" width="0" style="25" hidden="1" customWidth="1"/>
    <col min="5641" max="5883" width="9.140625" style="25"/>
    <col min="5884" max="5884" width="8.28515625" style="25" bestFit="1" customWidth="1"/>
    <col min="5885" max="5885" width="59.7109375" style="25" customWidth="1"/>
    <col min="5886" max="5886" width="0" style="25" hidden="1" customWidth="1"/>
    <col min="5887" max="5887" width="20.28515625" style="25" bestFit="1" customWidth="1"/>
    <col min="5888" max="5896" width="0" style="25" hidden="1" customWidth="1"/>
    <col min="5897" max="6139" width="9.140625" style="25"/>
    <col min="6140" max="6140" width="8.28515625" style="25" bestFit="1" customWidth="1"/>
    <col min="6141" max="6141" width="59.7109375" style="25" customWidth="1"/>
    <col min="6142" max="6142" width="0" style="25" hidden="1" customWidth="1"/>
    <col min="6143" max="6143" width="20.28515625" style="25" bestFit="1" customWidth="1"/>
    <col min="6144" max="6152" width="0" style="25" hidden="1" customWidth="1"/>
    <col min="6153" max="6395" width="9.140625" style="25"/>
    <col min="6396" max="6396" width="8.28515625" style="25" bestFit="1" customWidth="1"/>
    <col min="6397" max="6397" width="59.7109375" style="25" customWidth="1"/>
    <col min="6398" max="6398" width="0" style="25" hidden="1" customWidth="1"/>
    <col min="6399" max="6399" width="20.28515625" style="25" bestFit="1" customWidth="1"/>
    <col min="6400" max="6408" width="0" style="25" hidden="1" customWidth="1"/>
    <col min="6409" max="6651" width="9.140625" style="25"/>
    <col min="6652" max="6652" width="8.28515625" style="25" bestFit="1" customWidth="1"/>
    <col min="6653" max="6653" width="59.7109375" style="25" customWidth="1"/>
    <col min="6654" max="6654" width="0" style="25" hidden="1" customWidth="1"/>
    <col min="6655" max="6655" width="20.28515625" style="25" bestFit="1" customWidth="1"/>
    <col min="6656" max="6664" width="0" style="25" hidden="1" customWidth="1"/>
    <col min="6665" max="6907" width="9.140625" style="25"/>
    <col min="6908" max="6908" width="8.28515625" style="25" bestFit="1" customWidth="1"/>
    <col min="6909" max="6909" width="59.7109375" style="25" customWidth="1"/>
    <col min="6910" max="6910" width="0" style="25" hidden="1" customWidth="1"/>
    <col min="6911" max="6911" width="20.28515625" style="25" bestFit="1" customWidth="1"/>
    <col min="6912" max="6920" width="0" style="25" hidden="1" customWidth="1"/>
    <col min="6921" max="7163" width="9.140625" style="25"/>
    <col min="7164" max="7164" width="8.28515625" style="25" bestFit="1" customWidth="1"/>
    <col min="7165" max="7165" width="59.7109375" style="25" customWidth="1"/>
    <col min="7166" max="7166" width="0" style="25" hidden="1" customWidth="1"/>
    <col min="7167" max="7167" width="20.28515625" style="25" bestFit="1" customWidth="1"/>
    <col min="7168" max="7176" width="0" style="25" hidden="1" customWidth="1"/>
    <col min="7177" max="7419" width="9.140625" style="25"/>
    <col min="7420" max="7420" width="8.28515625" style="25" bestFit="1" customWidth="1"/>
    <col min="7421" max="7421" width="59.7109375" style="25" customWidth="1"/>
    <col min="7422" max="7422" width="0" style="25" hidden="1" customWidth="1"/>
    <col min="7423" max="7423" width="20.28515625" style="25" bestFit="1" customWidth="1"/>
    <col min="7424" max="7432" width="0" style="25" hidden="1" customWidth="1"/>
    <col min="7433" max="7675" width="9.140625" style="25"/>
    <col min="7676" max="7676" width="8.28515625" style="25" bestFit="1" customWidth="1"/>
    <col min="7677" max="7677" width="59.7109375" style="25" customWidth="1"/>
    <col min="7678" max="7678" width="0" style="25" hidden="1" customWidth="1"/>
    <col min="7679" max="7679" width="20.28515625" style="25" bestFit="1" customWidth="1"/>
    <col min="7680" max="7688" width="0" style="25" hidden="1" customWidth="1"/>
    <col min="7689" max="7931" width="9.140625" style="25"/>
    <col min="7932" max="7932" width="8.28515625" style="25" bestFit="1" customWidth="1"/>
    <col min="7933" max="7933" width="59.7109375" style="25" customWidth="1"/>
    <col min="7934" max="7934" width="0" style="25" hidden="1" customWidth="1"/>
    <col min="7935" max="7935" width="20.28515625" style="25" bestFit="1" customWidth="1"/>
    <col min="7936" max="7944" width="0" style="25" hidden="1" customWidth="1"/>
    <col min="7945" max="8187" width="9.140625" style="25"/>
    <col min="8188" max="8188" width="8.28515625" style="25" bestFit="1" customWidth="1"/>
    <col min="8189" max="8189" width="59.7109375" style="25" customWidth="1"/>
    <col min="8190" max="8190" width="0" style="25" hidden="1" customWidth="1"/>
    <col min="8191" max="8191" width="20.28515625" style="25" bestFit="1" customWidth="1"/>
    <col min="8192" max="8200" width="0" style="25" hidden="1" customWidth="1"/>
    <col min="8201" max="8443" width="9.140625" style="25"/>
    <col min="8444" max="8444" width="8.28515625" style="25" bestFit="1" customWidth="1"/>
    <col min="8445" max="8445" width="59.7109375" style="25" customWidth="1"/>
    <col min="8446" max="8446" width="0" style="25" hidden="1" customWidth="1"/>
    <col min="8447" max="8447" width="20.28515625" style="25" bestFit="1" customWidth="1"/>
    <col min="8448" max="8456" width="0" style="25" hidden="1" customWidth="1"/>
    <col min="8457" max="8699" width="9.140625" style="25"/>
    <col min="8700" max="8700" width="8.28515625" style="25" bestFit="1" customWidth="1"/>
    <col min="8701" max="8701" width="59.7109375" style="25" customWidth="1"/>
    <col min="8702" max="8702" width="0" style="25" hidden="1" customWidth="1"/>
    <col min="8703" max="8703" width="20.28515625" style="25" bestFit="1" customWidth="1"/>
    <col min="8704" max="8712" width="0" style="25" hidden="1" customWidth="1"/>
    <col min="8713" max="8955" width="9.140625" style="25"/>
    <col min="8956" max="8956" width="8.28515625" style="25" bestFit="1" customWidth="1"/>
    <col min="8957" max="8957" width="59.7109375" style="25" customWidth="1"/>
    <col min="8958" max="8958" width="0" style="25" hidden="1" customWidth="1"/>
    <col min="8959" max="8959" width="20.28515625" style="25" bestFit="1" customWidth="1"/>
    <col min="8960" max="8968" width="0" style="25" hidden="1" customWidth="1"/>
    <col min="8969" max="9211" width="9.140625" style="25"/>
    <col min="9212" max="9212" width="8.28515625" style="25" bestFit="1" customWidth="1"/>
    <col min="9213" max="9213" width="59.7109375" style="25" customWidth="1"/>
    <col min="9214" max="9214" width="0" style="25" hidden="1" customWidth="1"/>
    <col min="9215" max="9215" width="20.28515625" style="25" bestFit="1" customWidth="1"/>
    <col min="9216" max="9224" width="0" style="25" hidden="1" customWidth="1"/>
    <col min="9225" max="9467" width="9.140625" style="25"/>
    <col min="9468" max="9468" width="8.28515625" style="25" bestFit="1" customWidth="1"/>
    <col min="9469" max="9469" width="59.7109375" style="25" customWidth="1"/>
    <col min="9470" max="9470" width="0" style="25" hidden="1" customWidth="1"/>
    <col min="9471" max="9471" width="20.28515625" style="25" bestFit="1" customWidth="1"/>
    <col min="9472" max="9480" width="0" style="25" hidden="1" customWidth="1"/>
    <col min="9481" max="9723" width="9.140625" style="25"/>
    <col min="9724" max="9724" width="8.28515625" style="25" bestFit="1" customWidth="1"/>
    <col min="9725" max="9725" width="59.7109375" style="25" customWidth="1"/>
    <col min="9726" max="9726" width="0" style="25" hidden="1" customWidth="1"/>
    <col min="9727" max="9727" width="20.28515625" style="25" bestFit="1" customWidth="1"/>
    <col min="9728" max="9736" width="0" style="25" hidden="1" customWidth="1"/>
    <col min="9737" max="9979" width="9.140625" style="25"/>
    <col min="9980" max="9980" width="8.28515625" style="25" bestFit="1" customWidth="1"/>
    <col min="9981" max="9981" width="59.7109375" style="25" customWidth="1"/>
    <col min="9982" max="9982" width="0" style="25" hidden="1" customWidth="1"/>
    <col min="9983" max="9983" width="20.28515625" style="25" bestFit="1" customWidth="1"/>
    <col min="9984" max="9992" width="0" style="25" hidden="1" customWidth="1"/>
    <col min="9993" max="10235" width="9.140625" style="25"/>
    <col min="10236" max="10236" width="8.28515625" style="25" bestFit="1" customWidth="1"/>
    <col min="10237" max="10237" width="59.7109375" style="25" customWidth="1"/>
    <col min="10238" max="10238" width="0" style="25" hidden="1" customWidth="1"/>
    <col min="10239" max="10239" width="20.28515625" style="25" bestFit="1" customWidth="1"/>
    <col min="10240" max="10248" width="0" style="25" hidden="1" customWidth="1"/>
    <col min="10249" max="10491" width="9.140625" style="25"/>
    <col min="10492" max="10492" width="8.28515625" style="25" bestFit="1" customWidth="1"/>
    <col min="10493" max="10493" width="59.7109375" style="25" customWidth="1"/>
    <col min="10494" max="10494" width="0" style="25" hidden="1" customWidth="1"/>
    <col min="10495" max="10495" width="20.28515625" style="25" bestFit="1" customWidth="1"/>
    <col min="10496" max="10504" width="0" style="25" hidden="1" customWidth="1"/>
    <col min="10505" max="10747" width="9.140625" style="25"/>
    <col min="10748" max="10748" width="8.28515625" style="25" bestFit="1" customWidth="1"/>
    <col min="10749" max="10749" width="59.7109375" style="25" customWidth="1"/>
    <col min="10750" max="10750" width="0" style="25" hidden="1" customWidth="1"/>
    <col min="10751" max="10751" width="20.28515625" style="25" bestFit="1" customWidth="1"/>
    <col min="10752" max="10760" width="0" style="25" hidden="1" customWidth="1"/>
    <col min="10761" max="11003" width="9.140625" style="25"/>
    <col min="11004" max="11004" width="8.28515625" style="25" bestFit="1" customWidth="1"/>
    <col min="11005" max="11005" width="59.7109375" style="25" customWidth="1"/>
    <col min="11006" max="11006" width="0" style="25" hidden="1" customWidth="1"/>
    <col min="11007" max="11007" width="20.28515625" style="25" bestFit="1" customWidth="1"/>
    <col min="11008" max="11016" width="0" style="25" hidden="1" customWidth="1"/>
    <col min="11017" max="11259" width="9.140625" style="25"/>
    <col min="11260" max="11260" width="8.28515625" style="25" bestFit="1" customWidth="1"/>
    <col min="11261" max="11261" width="59.7109375" style="25" customWidth="1"/>
    <col min="11262" max="11262" width="0" style="25" hidden="1" customWidth="1"/>
    <col min="11263" max="11263" width="20.28515625" style="25" bestFit="1" customWidth="1"/>
    <col min="11264" max="11272" width="0" style="25" hidden="1" customWidth="1"/>
    <col min="11273" max="11515" width="9.140625" style="25"/>
    <col min="11516" max="11516" width="8.28515625" style="25" bestFit="1" customWidth="1"/>
    <col min="11517" max="11517" width="59.7109375" style="25" customWidth="1"/>
    <col min="11518" max="11518" width="0" style="25" hidden="1" customWidth="1"/>
    <col min="11519" max="11519" width="20.28515625" style="25" bestFit="1" customWidth="1"/>
    <col min="11520" max="11528" width="0" style="25" hidden="1" customWidth="1"/>
    <col min="11529" max="11771" width="9.140625" style="25"/>
    <col min="11772" max="11772" width="8.28515625" style="25" bestFit="1" customWidth="1"/>
    <col min="11773" max="11773" width="59.7109375" style="25" customWidth="1"/>
    <col min="11774" max="11774" width="0" style="25" hidden="1" customWidth="1"/>
    <col min="11775" max="11775" width="20.28515625" style="25" bestFit="1" customWidth="1"/>
    <col min="11776" max="11784" width="0" style="25" hidden="1" customWidth="1"/>
    <col min="11785" max="12027" width="9.140625" style="25"/>
    <col min="12028" max="12028" width="8.28515625" style="25" bestFit="1" customWidth="1"/>
    <col min="12029" max="12029" width="59.7109375" style="25" customWidth="1"/>
    <col min="12030" max="12030" width="0" style="25" hidden="1" customWidth="1"/>
    <col min="12031" max="12031" width="20.28515625" style="25" bestFit="1" customWidth="1"/>
    <col min="12032" max="12040" width="0" style="25" hidden="1" customWidth="1"/>
    <col min="12041" max="12283" width="9.140625" style="25"/>
    <col min="12284" max="12284" width="8.28515625" style="25" bestFit="1" customWidth="1"/>
    <col min="12285" max="12285" width="59.7109375" style="25" customWidth="1"/>
    <col min="12286" max="12286" width="0" style="25" hidden="1" customWidth="1"/>
    <col min="12287" max="12287" width="20.28515625" style="25" bestFit="1" customWidth="1"/>
    <col min="12288" max="12296" width="0" style="25" hidden="1" customWidth="1"/>
    <col min="12297" max="12539" width="9.140625" style="25"/>
    <col min="12540" max="12540" width="8.28515625" style="25" bestFit="1" customWidth="1"/>
    <col min="12541" max="12541" width="59.7109375" style="25" customWidth="1"/>
    <col min="12542" max="12542" width="0" style="25" hidden="1" customWidth="1"/>
    <col min="12543" max="12543" width="20.28515625" style="25" bestFit="1" customWidth="1"/>
    <col min="12544" max="12552" width="0" style="25" hidden="1" customWidth="1"/>
    <col min="12553" max="12795" width="9.140625" style="25"/>
    <col min="12796" max="12796" width="8.28515625" style="25" bestFit="1" customWidth="1"/>
    <col min="12797" max="12797" width="59.7109375" style="25" customWidth="1"/>
    <col min="12798" max="12798" width="0" style="25" hidden="1" customWidth="1"/>
    <col min="12799" max="12799" width="20.28515625" style="25" bestFit="1" customWidth="1"/>
    <col min="12800" max="12808" width="0" style="25" hidden="1" customWidth="1"/>
    <col min="12809" max="13051" width="9.140625" style="25"/>
    <col min="13052" max="13052" width="8.28515625" style="25" bestFit="1" customWidth="1"/>
    <col min="13053" max="13053" width="59.7109375" style="25" customWidth="1"/>
    <col min="13054" max="13054" width="0" style="25" hidden="1" customWidth="1"/>
    <col min="13055" max="13055" width="20.28515625" style="25" bestFit="1" customWidth="1"/>
    <col min="13056" max="13064" width="0" style="25" hidden="1" customWidth="1"/>
    <col min="13065" max="13307" width="9.140625" style="25"/>
    <col min="13308" max="13308" width="8.28515625" style="25" bestFit="1" customWidth="1"/>
    <col min="13309" max="13309" width="59.7109375" style="25" customWidth="1"/>
    <col min="13310" max="13310" width="0" style="25" hidden="1" customWidth="1"/>
    <col min="13311" max="13311" width="20.28515625" style="25" bestFit="1" customWidth="1"/>
    <col min="13312" max="13320" width="0" style="25" hidden="1" customWidth="1"/>
    <col min="13321" max="13563" width="9.140625" style="25"/>
    <col min="13564" max="13564" width="8.28515625" style="25" bestFit="1" customWidth="1"/>
    <col min="13565" max="13565" width="59.7109375" style="25" customWidth="1"/>
    <col min="13566" max="13566" width="0" style="25" hidden="1" customWidth="1"/>
    <col min="13567" max="13567" width="20.28515625" style="25" bestFit="1" customWidth="1"/>
    <col min="13568" max="13576" width="0" style="25" hidden="1" customWidth="1"/>
    <col min="13577" max="13819" width="9.140625" style="25"/>
    <col min="13820" max="13820" width="8.28515625" style="25" bestFit="1" customWidth="1"/>
    <col min="13821" max="13821" width="59.7109375" style="25" customWidth="1"/>
    <col min="13822" max="13822" width="0" style="25" hidden="1" customWidth="1"/>
    <col min="13823" max="13823" width="20.28515625" style="25" bestFit="1" customWidth="1"/>
    <col min="13824" max="13832" width="0" style="25" hidden="1" customWidth="1"/>
    <col min="13833" max="14075" width="9.140625" style="25"/>
    <col min="14076" max="14076" width="8.28515625" style="25" bestFit="1" customWidth="1"/>
    <col min="14077" max="14077" width="59.7109375" style="25" customWidth="1"/>
    <col min="14078" max="14078" width="0" style="25" hidden="1" customWidth="1"/>
    <col min="14079" max="14079" width="20.28515625" style="25" bestFit="1" customWidth="1"/>
    <col min="14080" max="14088" width="0" style="25" hidden="1" customWidth="1"/>
    <col min="14089" max="14331" width="9.140625" style="25"/>
    <col min="14332" max="14332" width="8.28515625" style="25" bestFit="1" customWidth="1"/>
    <col min="14333" max="14333" width="59.7109375" style="25" customWidth="1"/>
    <col min="14334" max="14334" width="0" style="25" hidden="1" customWidth="1"/>
    <col min="14335" max="14335" width="20.28515625" style="25" bestFit="1" customWidth="1"/>
    <col min="14336" max="14344" width="0" style="25" hidden="1" customWidth="1"/>
    <col min="14345" max="14587" width="9.140625" style="25"/>
    <col min="14588" max="14588" width="8.28515625" style="25" bestFit="1" customWidth="1"/>
    <col min="14589" max="14589" width="59.7109375" style="25" customWidth="1"/>
    <col min="14590" max="14590" width="0" style="25" hidden="1" customWidth="1"/>
    <col min="14591" max="14591" width="20.28515625" style="25" bestFit="1" customWidth="1"/>
    <col min="14592" max="14600" width="0" style="25" hidden="1" customWidth="1"/>
    <col min="14601" max="14843" width="9.140625" style="25"/>
    <col min="14844" max="14844" width="8.28515625" style="25" bestFit="1" customWidth="1"/>
    <col min="14845" max="14845" width="59.7109375" style="25" customWidth="1"/>
    <col min="14846" max="14846" width="0" style="25" hidden="1" customWidth="1"/>
    <col min="14847" max="14847" width="20.28515625" style="25" bestFit="1" customWidth="1"/>
    <col min="14848" max="14856" width="0" style="25" hidden="1" customWidth="1"/>
    <col min="14857" max="15099" width="9.140625" style="25"/>
    <col min="15100" max="15100" width="8.28515625" style="25" bestFit="1" customWidth="1"/>
    <col min="15101" max="15101" width="59.7109375" style="25" customWidth="1"/>
    <col min="15102" max="15102" width="0" style="25" hidden="1" customWidth="1"/>
    <col min="15103" max="15103" width="20.28515625" style="25" bestFit="1" customWidth="1"/>
    <col min="15104" max="15112" width="0" style="25" hidden="1" customWidth="1"/>
    <col min="15113" max="15355" width="9.140625" style="25"/>
    <col min="15356" max="15356" width="8.28515625" style="25" bestFit="1" customWidth="1"/>
    <col min="15357" max="15357" width="59.7109375" style="25" customWidth="1"/>
    <col min="15358" max="15358" width="0" style="25" hidden="1" customWidth="1"/>
    <col min="15359" max="15359" width="20.28515625" style="25" bestFit="1" customWidth="1"/>
    <col min="15360" max="15368" width="0" style="25" hidden="1" customWidth="1"/>
    <col min="15369" max="15611" width="9.140625" style="25"/>
    <col min="15612" max="15612" width="8.28515625" style="25" bestFit="1" customWidth="1"/>
    <col min="15613" max="15613" width="59.7109375" style="25" customWidth="1"/>
    <col min="15614" max="15614" width="0" style="25" hidden="1" customWidth="1"/>
    <col min="15615" max="15615" width="20.28515625" style="25" bestFit="1" customWidth="1"/>
    <col min="15616" max="15624" width="0" style="25" hidden="1" customWidth="1"/>
    <col min="15625" max="15867" width="9.140625" style="25"/>
    <col min="15868" max="15868" width="8.28515625" style="25" bestFit="1" customWidth="1"/>
    <col min="15869" max="15869" width="59.7109375" style="25" customWidth="1"/>
    <col min="15870" max="15870" width="0" style="25" hidden="1" customWidth="1"/>
    <col min="15871" max="15871" width="20.28515625" style="25" bestFit="1" customWidth="1"/>
    <col min="15872" max="15880" width="0" style="25" hidden="1" customWidth="1"/>
    <col min="15881" max="16123" width="9.140625" style="25"/>
    <col min="16124" max="16124" width="8.28515625" style="25" bestFit="1" customWidth="1"/>
    <col min="16125" max="16125" width="59.7109375" style="25" customWidth="1"/>
    <col min="16126" max="16126" width="0" style="25" hidden="1" customWidth="1"/>
    <col min="16127" max="16127" width="20.28515625" style="25" bestFit="1" customWidth="1"/>
    <col min="16128" max="16136" width="0" style="25" hidden="1" customWidth="1"/>
    <col min="16137" max="16384" width="9.140625" style="25"/>
  </cols>
  <sheetData>
    <row r="2" spans="1:15" ht="22.5" x14ac:dyDescent="0.4">
      <c r="H2" s="75" t="s">
        <v>0</v>
      </c>
    </row>
    <row r="3" spans="1:15" ht="22.5" x14ac:dyDescent="0.4">
      <c r="A3" s="75" t="str">
        <f>Basisoplysninger!C11 &amp; " LOKALFORENING " &amp; Basisoplysninger!C10</f>
        <v>BALLERUP LOKALFORENING 2025</v>
      </c>
      <c r="H3" s="86" t="s">
        <v>5</v>
      </c>
    </row>
    <row r="4" spans="1:15" ht="23.25" thickBot="1" x14ac:dyDescent="0.45">
      <c r="A4" s="76" t="s">
        <v>306</v>
      </c>
      <c r="B4" s="37"/>
      <c r="C4" s="37"/>
      <c r="D4" s="37"/>
      <c r="E4" s="37"/>
      <c r="F4" s="37"/>
      <c r="G4" s="37"/>
    </row>
    <row r="5" spans="1:15" ht="22.5" x14ac:dyDescent="0.4">
      <c r="A5" s="36"/>
      <c r="B5" s="36"/>
      <c r="C5" s="36"/>
      <c r="D5" s="36"/>
      <c r="E5" s="87" t="s">
        <v>307</v>
      </c>
      <c r="F5" s="87"/>
      <c r="G5" s="87" t="s">
        <v>308</v>
      </c>
    </row>
    <row r="6" spans="1:15" ht="36" customHeight="1" x14ac:dyDescent="0.4">
      <c r="A6" s="36"/>
      <c r="B6" s="36"/>
      <c r="C6" s="36"/>
      <c r="D6" s="36"/>
      <c r="E6" s="87">
        <f>+Resultat!C8</f>
        <v>2025</v>
      </c>
      <c r="F6" s="87"/>
      <c r="G6" s="87">
        <f>+E6</f>
        <v>2025</v>
      </c>
      <c r="H6" s="86" t="s">
        <v>53</v>
      </c>
    </row>
    <row r="7" spans="1:15" s="73" customFormat="1" ht="21.75" thickBot="1" x14ac:dyDescent="0.45">
      <c r="A7" s="88" t="s">
        <v>49</v>
      </c>
      <c r="B7" s="88"/>
      <c r="C7" s="88"/>
      <c r="D7" s="88"/>
      <c r="E7" s="88"/>
      <c r="F7" s="88"/>
      <c r="G7" s="88"/>
      <c r="I7" s="34"/>
      <c r="J7" s="34"/>
      <c r="K7" s="34"/>
      <c r="M7" s="89"/>
      <c r="N7" s="89"/>
      <c r="O7" s="89"/>
    </row>
    <row r="8" spans="1:15" s="73" customFormat="1" ht="21" x14ac:dyDescent="0.4">
      <c r="A8" s="90">
        <v>1001</v>
      </c>
      <c r="B8" s="90" t="s">
        <v>309</v>
      </c>
      <c r="C8" s="90"/>
      <c r="D8" s="90"/>
      <c r="E8" s="91"/>
      <c r="F8" s="91"/>
      <c r="G8" s="91"/>
      <c r="H8" s="86" t="s">
        <v>310</v>
      </c>
      <c r="I8" s="34"/>
      <c r="J8" s="34"/>
      <c r="K8" s="34"/>
      <c r="M8" s="92"/>
      <c r="N8" s="92"/>
      <c r="O8" s="92"/>
    </row>
    <row r="9" spans="1:15" s="73" customFormat="1" ht="21" x14ac:dyDescent="0.4">
      <c r="A9" s="90">
        <v>1030</v>
      </c>
      <c r="B9" s="90" t="s">
        <v>121</v>
      </c>
      <c r="C9" s="90"/>
      <c r="D9" s="90"/>
      <c r="E9" s="93"/>
      <c r="F9" s="94"/>
      <c r="G9" s="94"/>
      <c r="H9" s="86" t="s">
        <v>559</v>
      </c>
      <c r="I9" s="36"/>
      <c r="J9" s="36"/>
      <c r="K9" s="36"/>
      <c r="M9" s="4"/>
      <c r="N9" s="4"/>
      <c r="O9" s="4"/>
    </row>
    <row r="10" spans="1:15" s="73" customFormat="1" ht="21" x14ac:dyDescent="0.4">
      <c r="A10" s="34">
        <v>1031</v>
      </c>
      <c r="B10" s="34" t="s">
        <v>122</v>
      </c>
      <c r="C10" s="34"/>
      <c r="D10" s="34"/>
      <c r="E10" s="5">
        <v>-805274.97</v>
      </c>
      <c r="F10" s="95"/>
      <c r="G10" s="5">
        <v>-625000</v>
      </c>
      <c r="H10" s="86" t="s">
        <v>311</v>
      </c>
      <c r="I10" s="86"/>
      <c r="J10" s="86"/>
      <c r="K10" s="86"/>
      <c r="L10" s="96"/>
      <c r="M10" s="97"/>
      <c r="N10" s="95"/>
      <c r="O10" s="95"/>
    </row>
    <row r="11" spans="1:15" s="73" customFormat="1" ht="21" x14ac:dyDescent="0.4">
      <c r="A11" s="34">
        <v>1032</v>
      </c>
      <c r="B11" s="34" t="s">
        <v>124</v>
      </c>
      <c r="C11" s="34"/>
      <c r="D11" s="34"/>
      <c r="E11" s="5">
        <v>162.29</v>
      </c>
      <c r="F11" s="95"/>
      <c r="G11" s="5">
        <v>0</v>
      </c>
      <c r="H11" s="98" t="s">
        <v>312</v>
      </c>
      <c r="I11" s="86"/>
      <c r="J11" s="86"/>
      <c r="K11" s="86"/>
      <c r="L11" s="96"/>
      <c r="M11" s="97"/>
      <c r="N11" s="95"/>
      <c r="O11" s="95"/>
    </row>
    <row r="12" spans="1:15" s="73" customFormat="1" ht="21" x14ac:dyDescent="0.4">
      <c r="A12" s="34">
        <v>1033</v>
      </c>
      <c r="B12" s="34" t="s">
        <v>125</v>
      </c>
      <c r="C12" s="34"/>
      <c r="D12" s="34"/>
      <c r="E12" s="5"/>
      <c r="F12" s="95"/>
      <c r="G12" s="5">
        <v>0</v>
      </c>
      <c r="H12" s="98" t="s">
        <v>313</v>
      </c>
      <c r="I12" s="86"/>
      <c r="J12" s="86"/>
      <c r="K12" s="86"/>
      <c r="L12" s="96"/>
      <c r="M12" s="97"/>
      <c r="N12" s="95"/>
      <c r="O12" s="95"/>
    </row>
    <row r="13" spans="1:15" s="73" customFormat="1" ht="21" x14ac:dyDescent="0.4">
      <c r="A13" s="34">
        <v>1035</v>
      </c>
      <c r="B13" s="34" t="s">
        <v>126</v>
      </c>
      <c r="C13" s="34"/>
      <c r="D13" s="34"/>
      <c r="E13" s="5"/>
      <c r="F13" s="95"/>
      <c r="G13" s="5">
        <v>500</v>
      </c>
      <c r="I13" s="86"/>
      <c r="J13" s="86"/>
      <c r="K13" s="86"/>
      <c r="L13" s="96"/>
      <c r="M13" s="97"/>
      <c r="N13" s="95"/>
      <c r="O13" s="95"/>
    </row>
    <row r="14" spans="1:15" s="73" customFormat="1" ht="21" x14ac:dyDescent="0.4">
      <c r="A14" s="34">
        <v>1037</v>
      </c>
      <c r="B14" s="34" t="s">
        <v>547</v>
      </c>
      <c r="C14" s="34"/>
      <c r="D14" s="34"/>
      <c r="E14" s="5"/>
      <c r="F14" s="95"/>
      <c r="G14" s="5"/>
      <c r="H14" s="98"/>
      <c r="I14" s="86"/>
      <c r="J14" s="86"/>
      <c r="K14" s="86"/>
      <c r="L14" s="96"/>
      <c r="M14" s="97"/>
      <c r="N14" s="95"/>
      <c r="O14" s="95"/>
    </row>
    <row r="15" spans="1:15" s="73" customFormat="1" ht="21" x14ac:dyDescent="0.4">
      <c r="A15" s="34">
        <v>1038</v>
      </c>
      <c r="B15" s="34" t="s">
        <v>548</v>
      </c>
      <c r="C15" s="34"/>
      <c r="D15" s="34"/>
      <c r="E15" s="5"/>
      <c r="F15" s="95"/>
      <c r="G15" s="5"/>
      <c r="H15" s="98"/>
      <c r="I15" s="86"/>
      <c r="J15" s="86"/>
      <c r="K15" s="86"/>
      <c r="L15" s="96"/>
      <c r="M15" s="97"/>
      <c r="N15" s="95"/>
      <c r="O15" s="95"/>
    </row>
    <row r="16" spans="1:15" s="73" customFormat="1" ht="21" x14ac:dyDescent="0.4">
      <c r="A16" s="99">
        <v>1039</v>
      </c>
      <c r="B16" s="99" t="s">
        <v>127</v>
      </c>
      <c r="C16" s="99"/>
      <c r="D16" s="99"/>
      <c r="E16" s="7">
        <f>SUM(E10:E15)</f>
        <v>-805112.67999999993</v>
      </c>
      <c r="F16" s="7"/>
      <c r="G16" s="7">
        <f>SUM(G10:G15)</f>
        <v>-624500</v>
      </c>
      <c r="I16" s="86"/>
      <c r="J16" s="86"/>
      <c r="K16" s="86"/>
      <c r="L16" s="96"/>
      <c r="M16" s="100"/>
      <c r="N16" s="4"/>
      <c r="O16" s="4"/>
    </row>
    <row r="17" spans="1:15" s="73" customFormat="1" ht="21" x14ac:dyDescent="0.4">
      <c r="A17" s="99">
        <v>1040</v>
      </c>
      <c r="B17" s="99" t="s">
        <v>56</v>
      </c>
      <c r="C17" s="99"/>
      <c r="D17" s="99"/>
      <c r="E17" s="7"/>
      <c r="F17" s="7"/>
      <c r="G17" s="7"/>
      <c r="I17" s="86"/>
      <c r="J17" s="86"/>
      <c r="K17" s="86"/>
      <c r="L17" s="96"/>
      <c r="M17" s="100"/>
      <c r="N17" s="4"/>
      <c r="O17" s="4"/>
    </row>
    <row r="18" spans="1:15" s="73" customFormat="1" ht="21" x14ac:dyDescent="0.4">
      <c r="A18" s="101">
        <v>1042</v>
      </c>
      <c r="B18" s="101" t="s">
        <v>56</v>
      </c>
      <c r="C18" s="99"/>
      <c r="D18" s="99"/>
      <c r="E18" s="5">
        <v>-1600</v>
      </c>
      <c r="F18" s="95"/>
      <c r="G18" s="5">
        <v>-3000</v>
      </c>
      <c r="H18" s="86"/>
      <c r="I18" s="86"/>
      <c r="J18" s="86"/>
      <c r="K18" s="86"/>
      <c r="L18" s="96"/>
      <c r="M18" s="100"/>
      <c r="N18" s="4"/>
      <c r="O18" s="4"/>
    </row>
    <row r="19" spans="1:15" s="73" customFormat="1" ht="21" x14ac:dyDescent="0.4">
      <c r="A19" s="99">
        <v>1043</v>
      </c>
      <c r="B19" s="99" t="s">
        <v>316</v>
      </c>
      <c r="C19" s="99"/>
      <c r="D19" s="99"/>
      <c r="E19" s="7">
        <f>E18</f>
        <v>-1600</v>
      </c>
      <c r="F19" s="7"/>
      <c r="G19" s="7">
        <f>G18</f>
        <v>-3000</v>
      </c>
      <c r="H19" s="36"/>
      <c r="I19" s="34"/>
      <c r="J19" s="34"/>
      <c r="K19" s="34"/>
      <c r="M19" s="4"/>
      <c r="N19" s="4"/>
      <c r="O19" s="4"/>
    </row>
    <row r="20" spans="1:15" s="73" customFormat="1" ht="21" x14ac:dyDescent="0.4">
      <c r="A20" s="36">
        <v>1050</v>
      </c>
      <c r="B20" s="36" t="s">
        <v>317</v>
      </c>
      <c r="C20" s="36"/>
      <c r="D20" s="36"/>
      <c r="E20" s="6"/>
      <c r="F20" s="6"/>
      <c r="G20" s="6"/>
      <c r="H20" s="36"/>
      <c r="I20" s="34"/>
      <c r="J20" s="34"/>
      <c r="K20" s="34"/>
      <c r="M20" s="16"/>
      <c r="N20" s="16"/>
      <c r="O20" s="16"/>
    </row>
    <row r="21" spans="1:15" s="73" customFormat="1" ht="21" x14ac:dyDescent="0.4">
      <c r="A21" s="34">
        <v>1051</v>
      </c>
      <c r="B21" s="34" t="s">
        <v>147</v>
      </c>
      <c r="C21" s="34"/>
      <c r="D21" s="34"/>
      <c r="E21" s="5">
        <v>-2582.5</v>
      </c>
      <c r="F21" s="95"/>
      <c r="G21" s="5">
        <v>-2000</v>
      </c>
      <c r="H21" s="34"/>
      <c r="I21" s="34"/>
      <c r="J21" s="34"/>
      <c r="K21" s="34"/>
      <c r="M21" s="95"/>
      <c r="N21" s="95"/>
      <c r="O21" s="95"/>
    </row>
    <row r="22" spans="1:15" s="73" customFormat="1" ht="21" x14ac:dyDescent="0.4">
      <c r="A22" s="34">
        <v>1052</v>
      </c>
      <c r="B22" s="34" t="s">
        <v>148</v>
      </c>
      <c r="C22" s="34"/>
      <c r="D22" s="34"/>
      <c r="E22" s="5">
        <v>-59307</v>
      </c>
      <c r="F22" s="95"/>
      <c r="G22" s="5">
        <v>-5000</v>
      </c>
      <c r="H22" s="34"/>
      <c r="I22" s="34"/>
      <c r="J22" s="34"/>
      <c r="K22" s="34"/>
      <c r="M22" s="95"/>
      <c r="N22" s="95"/>
      <c r="O22" s="95"/>
    </row>
    <row r="23" spans="1:15" s="73" customFormat="1" ht="21" x14ac:dyDescent="0.4">
      <c r="A23" s="34">
        <v>1053</v>
      </c>
      <c r="B23" s="34" t="s">
        <v>149</v>
      </c>
      <c r="C23" s="34"/>
      <c r="D23" s="34"/>
      <c r="E23" s="5"/>
      <c r="F23" s="95"/>
      <c r="G23" s="5"/>
      <c r="H23" s="34"/>
      <c r="I23" s="34"/>
      <c r="J23" s="34"/>
      <c r="K23" s="34"/>
      <c r="M23" s="95"/>
      <c r="N23" s="95"/>
      <c r="O23" s="95"/>
    </row>
    <row r="24" spans="1:15" s="73" customFormat="1" ht="21" x14ac:dyDescent="0.4">
      <c r="A24" s="34">
        <v>1054</v>
      </c>
      <c r="B24" s="34" t="s">
        <v>150</v>
      </c>
      <c r="C24" s="34"/>
      <c r="D24" s="34"/>
      <c r="E24" s="5"/>
      <c r="F24" s="95"/>
      <c r="G24" s="5"/>
      <c r="H24" s="34"/>
      <c r="I24" s="34"/>
      <c r="J24" s="34"/>
      <c r="K24" s="34"/>
      <c r="M24" s="95"/>
      <c r="N24" s="95"/>
      <c r="O24" s="95"/>
    </row>
    <row r="25" spans="1:15" s="73" customFormat="1" ht="21" x14ac:dyDescent="0.4">
      <c r="A25" s="34">
        <v>1055</v>
      </c>
      <c r="B25" s="34" t="s">
        <v>522</v>
      </c>
      <c r="C25" s="34"/>
      <c r="D25" s="34"/>
      <c r="E25" s="5">
        <v>-5622</v>
      </c>
      <c r="F25" s="95"/>
      <c r="G25" s="5">
        <v>-6000</v>
      </c>
      <c r="H25" s="34"/>
      <c r="I25" s="34"/>
      <c r="J25" s="34"/>
      <c r="K25" s="34"/>
      <c r="M25" s="95"/>
      <c r="N25" s="95"/>
      <c r="O25" s="95"/>
    </row>
    <row r="26" spans="1:15" s="73" customFormat="1" ht="21" x14ac:dyDescent="0.4">
      <c r="A26" s="34">
        <v>1056</v>
      </c>
      <c r="B26" s="34" t="s">
        <v>318</v>
      </c>
      <c r="C26" s="34"/>
      <c r="D26" s="34"/>
      <c r="E26" s="5">
        <v>-5134.7700000000004</v>
      </c>
      <c r="F26" s="95"/>
      <c r="G26" s="5"/>
      <c r="H26" s="36"/>
      <c r="I26" s="34"/>
      <c r="J26" s="34"/>
      <c r="K26" s="34"/>
      <c r="M26" s="95"/>
      <c r="N26" s="95"/>
      <c r="O26" s="95"/>
    </row>
    <row r="27" spans="1:15" s="73" customFormat="1" ht="21" x14ac:dyDescent="0.4">
      <c r="A27" s="34">
        <v>1057</v>
      </c>
      <c r="B27" s="34" t="s">
        <v>545</v>
      </c>
      <c r="C27" s="34"/>
      <c r="D27" s="34"/>
      <c r="E27" s="5">
        <v>5622</v>
      </c>
      <c r="F27" s="95"/>
      <c r="G27" s="5"/>
      <c r="H27" s="86" t="s">
        <v>544</v>
      </c>
      <c r="I27" s="34"/>
      <c r="J27" s="34"/>
      <c r="K27" s="34"/>
      <c r="M27" s="95"/>
      <c r="N27" s="95"/>
      <c r="O27" s="95"/>
    </row>
    <row r="28" spans="1:15" s="73" customFormat="1" ht="21" x14ac:dyDescent="0.4">
      <c r="A28" s="34">
        <v>1058</v>
      </c>
      <c r="B28" s="34" t="s">
        <v>546</v>
      </c>
      <c r="C28" s="34"/>
      <c r="D28" s="34"/>
      <c r="E28" s="5">
        <v>-5611.22</v>
      </c>
      <c r="F28" s="95"/>
      <c r="G28" s="5"/>
      <c r="H28" s="86" t="s">
        <v>319</v>
      </c>
      <c r="I28" s="36"/>
      <c r="J28" s="36"/>
      <c r="K28" s="36"/>
      <c r="L28" s="27"/>
      <c r="M28" s="95"/>
      <c r="N28" s="95"/>
      <c r="O28" s="95"/>
    </row>
    <row r="29" spans="1:15" s="73" customFormat="1" ht="21" x14ac:dyDescent="0.4">
      <c r="A29" s="99">
        <v>1059</v>
      </c>
      <c r="B29" s="99" t="s">
        <v>152</v>
      </c>
      <c r="C29" s="99"/>
      <c r="D29" s="99"/>
      <c r="E29" s="7">
        <f>SUM(E21:E28)</f>
        <v>-72635.490000000005</v>
      </c>
      <c r="F29" s="7"/>
      <c r="G29" s="7">
        <f>SUM(G21:G28)</f>
        <v>-13000</v>
      </c>
      <c r="H29" s="34"/>
      <c r="I29" s="34"/>
      <c r="J29" s="34"/>
      <c r="K29" s="34"/>
      <c r="M29" s="4"/>
      <c r="N29" s="4"/>
      <c r="O29" s="4"/>
    </row>
    <row r="30" spans="1:15" s="73" customFormat="1" ht="21" x14ac:dyDescent="0.4">
      <c r="A30" s="99">
        <v>1060</v>
      </c>
      <c r="B30" s="99" t="s">
        <v>60</v>
      </c>
      <c r="C30" s="99"/>
      <c r="D30" s="99"/>
      <c r="E30" s="7"/>
      <c r="F30" s="7"/>
      <c r="G30" s="7"/>
      <c r="H30" s="34"/>
      <c r="I30" s="34"/>
      <c r="J30" s="34"/>
      <c r="K30" s="34"/>
      <c r="M30" s="4"/>
      <c r="N30" s="4"/>
      <c r="O30" s="4"/>
    </row>
    <row r="31" spans="1:15" s="73" customFormat="1" ht="21" x14ac:dyDescent="0.4">
      <c r="A31" s="34">
        <v>1061</v>
      </c>
      <c r="B31" s="34" t="s">
        <v>320</v>
      </c>
      <c r="C31" s="34"/>
      <c r="D31" s="34"/>
      <c r="E31" s="5"/>
      <c r="F31" s="95"/>
      <c r="G31" s="5"/>
      <c r="H31" s="34"/>
      <c r="I31" s="34"/>
      <c r="J31" s="34"/>
      <c r="K31" s="34"/>
      <c r="M31" s="95"/>
      <c r="N31" s="95"/>
      <c r="O31" s="95"/>
    </row>
    <row r="32" spans="1:15" s="73" customFormat="1" ht="21" x14ac:dyDescent="0.4">
      <c r="A32" s="34">
        <v>1062</v>
      </c>
      <c r="B32" s="34" t="s">
        <v>321</v>
      </c>
      <c r="C32" s="34"/>
      <c r="D32" s="34"/>
      <c r="E32" s="5">
        <v>-8250</v>
      </c>
      <c r="F32" s="95"/>
      <c r="G32" s="5">
        <v>-10000</v>
      </c>
      <c r="H32" s="34"/>
      <c r="I32" s="34"/>
      <c r="J32" s="34"/>
      <c r="K32" s="34"/>
      <c r="M32" s="95"/>
      <c r="N32" s="95"/>
      <c r="O32" s="95"/>
    </row>
    <row r="33" spans="1:15" s="73" customFormat="1" ht="21" x14ac:dyDescent="0.4">
      <c r="A33" s="34">
        <v>1063</v>
      </c>
      <c r="B33" s="34" t="s">
        <v>555</v>
      </c>
      <c r="C33" s="34"/>
      <c r="D33" s="34"/>
      <c r="E33" s="5"/>
      <c r="F33" s="95"/>
      <c r="G33" s="5"/>
      <c r="H33" s="34"/>
      <c r="I33" s="34"/>
      <c r="J33" s="34"/>
      <c r="K33" s="34"/>
      <c r="M33" s="95"/>
      <c r="N33" s="95"/>
      <c r="O33" s="95"/>
    </row>
    <row r="34" spans="1:15" s="73" customFormat="1" ht="21" x14ac:dyDescent="0.4">
      <c r="A34" s="99">
        <v>1069</v>
      </c>
      <c r="B34" s="99" t="s">
        <v>322</v>
      </c>
      <c r="C34" s="99"/>
      <c r="D34" s="99"/>
      <c r="E34" s="7">
        <f>SUM(E31:E33)</f>
        <v>-8250</v>
      </c>
      <c r="F34" s="7"/>
      <c r="G34" s="7">
        <f>SUM(G31:G33)</f>
        <v>-10000</v>
      </c>
      <c r="H34" s="34"/>
      <c r="I34" s="34"/>
      <c r="J34" s="34"/>
      <c r="K34" s="34"/>
      <c r="M34" s="4"/>
      <c r="N34" s="4"/>
      <c r="O34" s="4"/>
    </row>
    <row r="35" spans="1:15" s="73" customFormat="1" ht="21" x14ac:dyDescent="0.4">
      <c r="A35" s="36">
        <v>1080</v>
      </c>
      <c r="B35" s="36" t="s">
        <v>323</v>
      </c>
      <c r="C35" s="36"/>
      <c r="D35" s="36"/>
      <c r="E35" s="6"/>
      <c r="F35" s="6"/>
      <c r="G35" s="6"/>
      <c r="H35" s="34"/>
      <c r="I35" s="34"/>
      <c r="J35" s="34"/>
      <c r="K35" s="34"/>
      <c r="M35" s="16"/>
      <c r="N35" s="16"/>
      <c r="O35" s="16"/>
    </row>
    <row r="36" spans="1:15" s="73" customFormat="1" ht="21" x14ac:dyDescent="0.4">
      <c r="A36" s="34">
        <v>1081</v>
      </c>
      <c r="B36" s="34" t="s">
        <v>324</v>
      </c>
      <c r="C36" s="34"/>
      <c r="D36" s="34"/>
      <c r="E36" s="5"/>
      <c r="F36" s="95"/>
      <c r="G36" s="5"/>
      <c r="H36" s="34"/>
      <c r="I36" s="34"/>
      <c r="J36" s="34"/>
      <c r="K36" s="34"/>
      <c r="M36" s="95"/>
      <c r="N36" s="95"/>
      <c r="O36" s="95"/>
    </row>
    <row r="37" spans="1:15" s="73" customFormat="1" ht="21" x14ac:dyDescent="0.4">
      <c r="A37" s="99">
        <v>1089</v>
      </c>
      <c r="B37" s="99" t="s">
        <v>325</v>
      </c>
      <c r="C37" s="99"/>
      <c r="D37" s="99"/>
      <c r="E37" s="13">
        <f>SUM(E36:E36)</f>
        <v>0</v>
      </c>
      <c r="F37" s="13"/>
      <c r="G37" s="13">
        <f>SUM(G36)</f>
        <v>0</v>
      </c>
      <c r="H37" s="34"/>
      <c r="I37" s="34"/>
      <c r="J37" s="34"/>
      <c r="K37" s="34"/>
      <c r="M37" s="4"/>
      <c r="N37" s="4"/>
      <c r="O37" s="4"/>
    </row>
    <row r="38" spans="1:15" s="73" customFormat="1" ht="21" x14ac:dyDescent="0.4">
      <c r="A38" s="90">
        <v>1099</v>
      </c>
      <c r="B38" s="90" t="s">
        <v>326</v>
      </c>
      <c r="C38" s="90"/>
      <c r="D38" s="90"/>
      <c r="E38" s="8">
        <f>E16+E29+E34+E37+E19</f>
        <v>-887598.16999999993</v>
      </c>
      <c r="F38" s="8"/>
      <c r="G38" s="8">
        <f>G16+G19+G29+G34+G37</f>
        <v>-650500</v>
      </c>
      <c r="H38" s="102"/>
      <c r="I38" s="34"/>
      <c r="J38" s="34"/>
      <c r="K38" s="34"/>
      <c r="M38" s="12"/>
      <c r="N38" s="12"/>
      <c r="O38" s="12"/>
    </row>
    <row r="39" spans="1:15" s="73" customFormat="1" ht="21" x14ac:dyDescent="0.4">
      <c r="A39" s="90">
        <v>1199</v>
      </c>
      <c r="B39" s="90" t="s">
        <v>327</v>
      </c>
      <c r="C39" s="90"/>
      <c r="D39" s="90"/>
      <c r="E39" s="8"/>
      <c r="F39" s="8"/>
      <c r="G39" s="8"/>
      <c r="H39" s="102"/>
      <c r="I39" s="34"/>
      <c r="J39" s="34"/>
      <c r="K39" s="34"/>
      <c r="M39" s="12"/>
      <c r="N39" s="12"/>
      <c r="O39" s="12"/>
    </row>
    <row r="40" spans="1:15" s="73" customFormat="1" ht="21" x14ac:dyDescent="0.4">
      <c r="A40" s="36">
        <v>1200</v>
      </c>
      <c r="B40" s="7" t="s">
        <v>460</v>
      </c>
      <c r="C40" s="7"/>
      <c r="D40" s="7"/>
      <c r="E40" s="6"/>
      <c r="F40" s="6"/>
      <c r="G40" s="6"/>
      <c r="H40" s="34"/>
      <c r="I40" s="34"/>
      <c r="J40" s="34"/>
      <c r="K40" s="34"/>
      <c r="M40" s="16"/>
      <c r="N40" s="16"/>
      <c r="O40" s="16"/>
    </row>
    <row r="41" spans="1:15" s="73" customFormat="1" ht="21" x14ac:dyDescent="0.4">
      <c r="A41" s="34">
        <v>1201</v>
      </c>
      <c r="B41" s="34" t="s">
        <v>128</v>
      </c>
      <c r="C41" s="34"/>
      <c r="D41" s="34"/>
      <c r="E41" s="5"/>
      <c r="F41" s="95"/>
      <c r="G41" s="5">
        <v>8000</v>
      </c>
      <c r="H41" s="34"/>
      <c r="I41" s="6"/>
      <c r="J41" s="34"/>
      <c r="K41" s="34"/>
      <c r="M41" s="16"/>
      <c r="N41" s="16"/>
      <c r="O41" s="16"/>
    </row>
    <row r="42" spans="1:15" s="73" customFormat="1" ht="21" x14ac:dyDescent="0.4">
      <c r="A42" s="34">
        <v>1202</v>
      </c>
      <c r="B42" s="34" t="s">
        <v>129</v>
      </c>
      <c r="C42" s="34"/>
      <c r="D42" s="34"/>
      <c r="E42" s="5">
        <v>17767.990000000002</v>
      </c>
      <c r="F42" s="95"/>
      <c r="G42" s="5">
        <v>8000</v>
      </c>
      <c r="H42" s="34"/>
      <c r="I42" s="6"/>
      <c r="J42" s="34"/>
      <c r="K42" s="34"/>
      <c r="M42" s="16"/>
      <c r="N42" s="16"/>
      <c r="O42" s="16"/>
    </row>
    <row r="43" spans="1:15" s="73" customFormat="1" ht="21" x14ac:dyDescent="0.4">
      <c r="A43" s="34">
        <v>1203</v>
      </c>
      <c r="B43" s="34" t="s">
        <v>130</v>
      </c>
      <c r="C43" s="34"/>
      <c r="D43" s="34"/>
      <c r="E43" s="5">
        <v>99160.13</v>
      </c>
      <c r="F43" s="95"/>
      <c r="G43" s="5">
        <v>35000</v>
      </c>
      <c r="H43" s="34"/>
      <c r="I43" s="95"/>
      <c r="J43" s="34"/>
      <c r="K43" s="34"/>
      <c r="M43" s="95"/>
      <c r="N43" s="95"/>
      <c r="O43" s="95"/>
    </row>
    <row r="44" spans="1:15" s="73" customFormat="1" ht="21" x14ac:dyDescent="0.4">
      <c r="A44" s="34">
        <v>1204</v>
      </c>
      <c r="B44" s="34" t="s">
        <v>328</v>
      </c>
      <c r="C44" s="34"/>
      <c r="D44" s="34"/>
      <c r="E44" s="5">
        <v>351489.48</v>
      </c>
      <c r="F44" s="95"/>
      <c r="G44" s="5">
        <v>328000</v>
      </c>
      <c r="H44" s="34"/>
      <c r="I44" s="95"/>
      <c r="J44" s="34"/>
      <c r="K44" s="34"/>
      <c r="M44" s="95"/>
      <c r="N44" s="95"/>
      <c r="O44" s="95"/>
    </row>
    <row r="45" spans="1:15" s="73" customFormat="1" ht="21" x14ac:dyDescent="0.4">
      <c r="A45" s="34">
        <v>1205</v>
      </c>
      <c r="B45" s="34" t="s">
        <v>132</v>
      </c>
      <c r="C45" s="34"/>
      <c r="D45" s="34"/>
      <c r="E45" s="5">
        <v>9940.86</v>
      </c>
      <c r="F45" s="95"/>
      <c r="G45" s="5">
        <v>30000</v>
      </c>
      <c r="H45" s="34"/>
      <c r="I45" s="95"/>
      <c r="J45" s="34"/>
      <c r="K45" s="34"/>
      <c r="M45" s="95"/>
      <c r="N45" s="95"/>
      <c r="O45" s="95"/>
    </row>
    <row r="46" spans="1:15" s="73" customFormat="1" ht="21" x14ac:dyDescent="0.4">
      <c r="A46" s="34">
        <v>1206</v>
      </c>
      <c r="B46" s="34" t="s">
        <v>133</v>
      </c>
      <c r="C46" s="34"/>
      <c r="D46" s="34"/>
      <c r="E46" s="5"/>
      <c r="F46" s="95"/>
      <c r="G46" s="5"/>
      <c r="H46" s="34"/>
      <c r="I46" s="95"/>
      <c r="J46" s="34"/>
      <c r="K46" s="34"/>
      <c r="M46" s="95"/>
      <c r="N46" s="95"/>
      <c r="O46" s="95"/>
    </row>
    <row r="47" spans="1:15" s="73" customFormat="1" ht="21" x14ac:dyDescent="0.4">
      <c r="A47" s="34">
        <v>1207</v>
      </c>
      <c r="B47" s="34" t="s">
        <v>134</v>
      </c>
      <c r="C47" s="34"/>
      <c r="D47" s="34"/>
      <c r="E47" s="5"/>
      <c r="F47" s="95"/>
      <c r="G47" s="5"/>
      <c r="H47" s="34"/>
      <c r="I47" s="95"/>
      <c r="J47" s="34"/>
      <c r="K47" s="34"/>
      <c r="M47" s="95"/>
      <c r="N47" s="95"/>
      <c r="O47" s="95"/>
    </row>
    <row r="48" spans="1:15" s="73" customFormat="1" ht="21" x14ac:dyDescent="0.4">
      <c r="A48" s="34">
        <v>1208</v>
      </c>
      <c r="B48" s="34" t="s">
        <v>329</v>
      </c>
      <c r="C48" s="34"/>
      <c r="D48" s="34"/>
      <c r="E48" s="5">
        <v>10771.62</v>
      </c>
      <c r="F48" s="95"/>
      <c r="G48" s="5">
        <v>13000</v>
      </c>
      <c r="H48" s="34"/>
      <c r="I48" s="95"/>
      <c r="J48" s="34"/>
      <c r="K48" s="34"/>
      <c r="M48" s="95"/>
      <c r="N48" s="95"/>
      <c r="O48" s="95"/>
    </row>
    <row r="49" spans="1:15" s="73" customFormat="1" ht="21" x14ac:dyDescent="0.4">
      <c r="A49" s="34">
        <v>1209</v>
      </c>
      <c r="B49" s="34" t="s">
        <v>136</v>
      </c>
      <c r="C49" s="34"/>
      <c r="D49" s="34"/>
      <c r="E49" s="5">
        <v>2500</v>
      </c>
      <c r="F49" s="95"/>
      <c r="G49" s="5">
        <v>2500</v>
      </c>
      <c r="H49" s="34"/>
      <c r="I49" s="6"/>
      <c r="J49" s="34"/>
      <c r="K49" s="34"/>
      <c r="M49" s="16"/>
      <c r="N49" s="16"/>
      <c r="O49" s="16"/>
    </row>
    <row r="50" spans="1:15" s="73" customFormat="1" ht="21" x14ac:dyDescent="0.4">
      <c r="A50" s="34">
        <v>1210</v>
      </c>
      <c r="B50" s="34" t="s">
        <v>330</v>
      </c>
      <c r="C50" s="34"/>
      <c r="D50" s="34"/>
      <c r="E50" s="5">
        <v>768.86</v>
      </c>
      <c r="F50" s="95"/>
      <c r="G50" s="5">
        <v>5000</v>
      </c>
      <c r="H50" s="86" t="s">
        <v>560</v>
      </c>
      <c r="I50" s="103"/>
      <c r="J50" s="36"/>
      <c r="K50" s="36"/>
      <c r="L50" s="27"/>
      <c r="M50" s="103"/>
      <c r="N50" s="95"/>
      <c r="O50" s="95"/>
    </row>
    <row r="51" spans="1:15" s="73" customFormat="1" ht="21" x14ac:dyDescent="0.4">
      <c r="A51" s="34">
        <v>1211</v>
      </c>
      <c r="B51" s="34" t="s">
        <v>558</v>
      </c>
      <c r="C51" s="34"/>
      <c r="D51" s="34"/>
      <c r="E51" s="5">
        <v>15091.39</v>
      </c>
      <c r="F51" s="95"/>
      <c r="G51" s="5">
        <v>15000</v>
      </c>
      <c r="H51" s="34"/>
      <c r="I51" s="95"/>
      <c r="J51" s="34"/>
      <c r="K51" s="34"/>
      <c r="M51" s="95"/>
      <c r="N51" s="95"/>
      <c r="O51" s="95"/>
    </row>
    <row r="52" spans="1:15" s="73" customFormat="1" ht="21" x14ac:dyDescent="0.4">
      <c r="A52" s="34">
        <v>1212</v>
      </c>
      <c r="B52" s="34" t="s">
        <v>138</v>
      </c>
      <c r="C52" s="34"/>
      <c r="D52" s="34"/>
      <c r="E52" s="5">
        <v>12513.96</v>
      </c>
      <c r="F52" s="95"/>
      <c r="G52" s="5">
        <v>12000</v>
      </c>
      <c r="H52" s="86" t="s">
        <v>561</v>
      </c>
      <c r="I52" s="6"/>
      <c r="J52" s="34"/>
      <c r="K52" s="34"/>
      <c r="M52" s="16"/>
      <c r="N52" s="16"/>
      <c r="O52" s="16"/>
    </row>
    <row r="53" spans="1:15" s="73" customFormat="1" ht="21" x14ac:dyDescent="0.4">
      <c r="A53" s="34">
        <v>1213</v>
      </c>
      <c r="B53" s="34" t="s">
        <v>139</v>
      </c>
      <c r="C53" s="34"/>
      <c r="D53" s="34"/>
      <c r="E53" s="5">
        <v>2547.8000000000002</v>
      </c>
      <c r="F53" s="95"/>
      <c r="G53" s="5">
        <v>4000</v>
      </c>
      <c r="H53" s="36"/>
      <c r="I53" s="95"/>
      <c r="J53" s="34"/>
      <c r="K53" s="34"/>
      <c r="M53" s="95"/>
      <c r="N53" s="95"/>
      <c r="O53" s="95"/>
    </row>
    <row r="54" spans="1:15" s="73" customFormat="1" ht="21" x14ac:dyDescent="0.4">
      <c r="A54" s="34">
        <v>1214</v>
      </c>
      <c r="B54" s="34" t="s">
        <v>524</v>
      </c>
      <c r="C54" s="34"/>
      <c r="D54" s="34"/>
      <c r="E54" s="5"/>
      <c r="F54" s="95"/>
      <c r="G54" s="5"/>
      <c r="H54" s="86" t="s">
        <v>562</v>
      </c>
      <c r="I54" s="95"/>
      <c r="J54" s="34"/>
      <c r="K54" s="34"/>
      <c r="M54" s="95"/>
      <c r="N54" s="95"/>
      <c r="O54" s="95"/>
    </row>
    <row r="55" spans="1:15" s="73" customFormat="1" ht="21" x14ac:dyDescent="0.4">
      <c r="A55" s="34">
        <v>1215</v>
      </c>
      <c r="B55" s="34" t="s">
        <v>331</v>
      </c>
      <c r="C55" s="34"/>
      <c r="D55" s="34"/>
      <c r="E55" s="5">
        <v>16540.849999999999</v>
      </c>
      <c r="F55" s="95"/>
      <c r="G55" s="5">
        <v>25000</v>
      </c>
      <c r="H55" s="34"/>
      <c r="I55" s="6"/>
      <c r="J55" s="34"/>
      <c r="K55" s="34"/>
      <c r="M55" s="16"/>
      <c r="N55" s="16"/>
      <c r="O55" s="16"/>
    </row>
    <row r="56" spans="1:15" s="73" customFormat="1" ht="21" x14ac:dyDescent="0.4">
      <c r="A56" s="34">
        <v>1216</v>
      </c>
      <c r="B56" s="34" t="s">
        <v>332</v>
      </c>
      <c r="C56" s="34"/>
      <c r="D56" s="34"/>
      <c r="E56" s="5">
        <v>14642.16</v>
      </c>
      <c r="F56" s="95"/>
      <c r="G56" s="5">
        <v>20000</v>
      </c>
      <c r="H56" s="34"/>
      <c r="I56" s="6"/>
      <c r="J56" s="34"/>
      <c r="K56" s="34"/>
      <c r="M56" s="16"/>
      <c r="N56" s="16"/>
      <c r="O56" s="16"/>
    </row>
    <row r="57" spans="1:15" s="73" customFormat="1" ht="21" x14ac:dyDescent="0.4">
      <c r="A57" s="34">
        <v>1217</v>
      </c>
      <c r="B57" s="34" t="s">
        <v>554</v>
      </c>
      <c r="C57" s="34"/>
      <c r="D57" s="34"/>
      <c r="E57" s="5">
        <v>6529.51</v>
      </c>
      <c r="F57" s="95"/>
      <c r="G57" s="5"/>
      <c r="H57" s="34"/>
      <c r="I57" s="6"/>
      <c r="J57" s="34"/>
      <c r="K57" s="34"/>
      <c r="M57" s="16"/>
      <c r="N57" s="16"/>
      <c r="O57" s="16"/>
    </row>
    <row r="58" spans="1:15" s="73" customFormat="1" ht="21" x14ac:dyDescent="0.4">
      <c r="A58" s="34">
        <v>1220</v>
      </c>
      <c r="B58" s="34" t="s">
        <v>142</v>
      </c>
      <c r="C58" s="34"/>
      <c r="D58" s="34"/>
      <c r="E58" s="5"/>
      <c r="F58" s="95"/>
      <c r="G58" s="5"/>
      <c r="H58" s="34"/>
      <c r="I58" s="6"/>
      <c r="J58" s="34"/>
      <c r="K58" s="34"/>
      <c r="M58" s="16"/>
      <c r="N58" s="16"/>
      <c r="O58" s="16"/>
    </row>
    <row r="59" spans="1:15" s="73" customFormat="1" ht="21" x14ac:dyDescent="0.4">
      <c r="A59" s="99">
        <v>1249</v>
      </c>
      <c r="B59" s="99" t="s">
        <v>461</v>
      </c>
      <c r="C59" s="99"/>
      <c r="D59" s="99"/>
      <c r="E59" s="11">
        <f>SUM(E41:E58)</f>
        <v>560264.61</v>
      </c>
      <c r="F59" s="11"/>
      <c r="G59" s="11">
        <f>SUM(G41:G58)</f>
        <v>505500</v>
      </c>
      <c r="H59" s="36"/>
      <c r="I59" s="34"/>
      <c r="J59" s="34"/>
      <c r="K59" s="34"/>
      <c r="M59" s="12"/>
      <c r="N59" s="12"/>
      <c r="O59" s="12"/>
    </row>
    <row r="60" spans="1:15" s="73" customFormat="1" ht="21" x14ac:dyDescent="0.4">
      <c r="A60" s="99"/>
      <c r="B60" s="99" t="s">
        <v>333</v>
      </c>
      <c r="C60" s="99"/>
      <c r="D60" s="99"/>
      <c r="E60" s="11">
        <f>E16+E59</f>
        <v>-244848.06999999995</v>
      </c>
      <c r="F60" s="11"/>
      <c r="G60" s="11">
        <f>+G16+G59</f>
        <v>-119000</v>
      </c>
      <c r="H60" s="86" t="s">
        <v>334</v>
      </c>
      <c r="I60" s="34"/>
      <c r="J60" s="34"/>
      <c r="K60" s="34"/>
      <c r="M60" s="12"/>
      <c r="N60" s="12"/>
      <c r="O60" s="12"/>
    </row>
    <row r="61" spans="1:15" s="73" customFormat="1" ht="21" x14ac:dyDescent="0.4">
      <c r="A61" s="99">
        <v>1300</v>
      </c>
      <c r="B61" s="99" t="s">
        <v>64</v>
      </c>
      <c r="C61" s="272" t="s">
        <v>518</v>
      </c>
      <c r="D61" s="271"/>
      <c r="E61" s="11"/>
      <c r="F61" s="11"/>
      <c r="G61" s="11"/>
      <c r="K61" s="36"/>
      <c r="M61" s="12"/>
      <c r="N61" s="12"/>
      <c r="O61" s="12"/>
    </row>
    <row r="62" spans="1:15" s="73" customFormat="1" ht="21" x14ac:dyDescent="0.4">
      <c r="A62" s="34">
        <v>1310</v>
      </c>
      <c r="B62" s="99" t="s">
        <v>335</v>
      </c>
      <c r="C62" s="9" t="s">
        <v>587</v>
      </c>
      <c r="D62" s="271"/>
      <c r="E62" s="5">
        <v>42297.52</v>
      </c>
      <c r="F62" s="95"/>
      <c r="G62" s="5">
        <v>40000</v>
      </c>
      <c r="H62" s="86" t="s">
        <v>336</v>
      </c>
      <c r="N62" s="16"/>
      <c r="O62" s="16"/>
    </row>
    <row r="63" spans="1:15" s="73" customFormat="1" ht="21" x14ac:dyDescent="0.4">
      <c r="A63" s="101">
        <v>1317</v>
      </c>
      <c r="B63" s="99" t="s">
        <v>337</v>
      </c>
      <c r="C63" s="9" t="s">
        <v>588</v>
      </c>
      <c r="D63" s="271"/>
      <c r="E63" s="5">
        <v>2910.3</v>
      </c>
      <c r="F63" s="95"/>
      <c r="G63" s="5">
        <v>5000</v>
      </c>
      <c r="H63" s="86" t="s">
        <v>520</v>
      </c>
      <c r="I63" s="34"/>
      <c r="J63" s="34"/>
      <c r="K63" s="34"/>
      <c r="M63" s="16"/>
      <c r="N63" s="16"/>
      <c r="O63" s="16"/>
    </row>
    <row r="64" spans="1:15" s="73" customFormat="1" ht="21" x14ac:dyDescent="0.4">
      <c r="A64" s="101">
        <v>1324</v>
      </c>
      <c r="B64" s="89" t="s">
        <v>338</v>
      </c>
      <c r="C64" s="9" t="s">
        <v>589</v>
      </c>
      <c r="D64" s="271"/>
      <c r="E64" s="5">
        <v>21549.03</v>
      </c>
      <c r="F64" s="95"/>
      <c r="G64" s="5">
        <v>20000</v>
      </c>
      <c r="H64" s="86" t="s">
        <v>521</v>
      </c>
      <c r="I64" s="34"/>
      <c r="J64" s="34"/>
      <c r="K64" s="34"/>
      <c r="M64" s="104"/>
      <c r="N64" s="16"/>
      <c r="O64" s="16"/>
    </row>
    <row r="65" spans="1:15" s="73" customFormat="1" ht="21" x14ac:dyDescent="0.4">
      <c r="A65" s="101">
        <v>1329</v>
      </c>
      <c r="B65" s="99" t="s">
        <v>339</v>
      </c>
      <c r="C65" s="9" t="s">
        <v>590</v>
      </c>
      <c r="D65" s="271"/>
      <c r="E65" s="5"/>
      <c r="F65" s="95"/>
      <c r="G65" s="5">
        <v>10000</v>
      </c>
      <c r="H65" s="34"/>
      <c r="I65" s="34"/>
      <c r="J65" s="34"/>
      <c r="K65" s="34"/>
      <c r="M65" s="104"/>
      <c r="N65" s="16"/>
      <c r="O65" s="16"/>
    </row>
    <row r="66" spans="1:15" s="73" customFormat="1" ht="21" x14ac:dyDescent="0.4">
      <c r="A66" s="101">
        <v>1334</v>
      </c>
      <c r="B66" s="99" t="s">
        <v>340</v>
      </c>
      <c r="C66" s="9" t="s">
        <v>594</v>
      </c>
      <c r="D66" s="271"/>
      <c r="E66" s="5">
        <v>9900</v>
      </c>
      <c r="F66" s="95"/>
      <c r="G66" s="5">
        <v>0</v>
      </c>
      <c r="H66" s="34"/>
      <c r="I66" s="34"/>
      <c r="J66" s="34"/>
      <c r="K66" s="34"/>
      <c r="M66" s="104"/>
      <c r="N66" s="16"/>
      <c r="O66" s="16"/>
    </row>
    <row r="67" spans="1:15" s="73" customFormat="1" ht="21" x14ac:dyDescent="0.4">
      <c r="A67" s="101">
        <v>1337</v>
      </c>
      <c r="B67" s="99" t="s">
        <v>341</v>
      </c>
      <c r="C67" s="9" t="s">
        <v>591</v>
      </c>
      <c r="D67" s="271"/>
      <c r="E67" s="5">
        <v>800</v>
      </c>
      <c r="F67" s="95"/>
      <c r="G67" s="5">
        <v>20000</v>
      </c>
      <c r="H67" s="34"/>
      <c r="I67" s="34"/>
      <c r="J67" s="34"/>
      <c r="K67" s="34"/>
      <c r="M67" s="104"/>
      <c r="N67" s="16"/>
      <c r="O67" s="16"/>
    </row>
    <row r="68" spans="1:15" s="73" customFormat="1" ht="21" x14ac:dyDescent="0.4">
      <c r="A68" s="101">
        <v>1340</v>
      </c>
      <c r="B68" s="99" t="s">
        <v>160</v>
      </c>
      <c r="C68" s="9" t="s">
        <v>592</v>
      </c>
      <c r="D68" s="271"/>
      <c r="E68" s="5"/>
      <c r="F68" s="95"/>
      <c r="G68" s="5">
        <v>1000</v>
      </c>
      <c r="H68" s="34"/>
      <c r="I68" s="34"/>
      <c r="J68" s="34"/>
      <c r="K68" s="34"/>
      <c r="M68" s="104"/>
      <c r="N68" s="16"/>
      <c r="O68" s="16"/>
    </row>
    <row r="69" spans="1:15" s="73" customFormat="1" ht="21" x14ac:dyDescent="0.4">
      <c r="A69" s="101">
        <v>1343</v>
      </c>
      <c r="B69" s="99" t="s">
        <v>161</v>
      </c>
      <c r="C69" s="9"/>
      <c r="D69" s="271"/>
      <c r="E69" s="5"/>
      <c r="F69" s="95"/>
      <c r="G69" s="5"/>
      <c r="H69" s="34"/>
      <c r="I69" s="34"/>
      <c r="J69" s="34"/>
      <c r="K69" s="34"/>
      <c r="M69" s="104"/>
      <c r="N69" s="16"/>
      <c r="O69" s="16"/>
    </row>
    <row r="70" spans="1:15" s="73" customFormat="1" ht="21" x14ac:dyDescent="0.4">
      <c r="A70" s="101">
        <v>1346</v>
      </c>
      <c r="B70" s="99" t="s">
        <v>162</v>
      </c>
      <c r="C70" s="9" t="s">
        <v>595</v>
      </c>
      <c r="D70" s="271"/>
      <c r="E70" s="5">
        <v>36250</v>
      </c>
      <c r="F70" s="95"/>
      <c r="G70" s="5"/>
      <c r="H70" s="34"/>
      <c r="I70" s="34"/>
      <c r="J70" s="34"/>
      <c r="K70" s="34"/>
      <c r="M70" s="104"/>
      <c r="N70" s="16"/>
      <c r="O70" s="16"/>
    </row>
    <row r="71" spans="1:15" s="73" customFormat="1" ht="21" x14ac:dyDescent="0.4">
      <c r="A71" s="101">
        <v>1349</v>
      </c>
      <c r="B71" s="99" t="s">
        <v>342</v>
      </c>
      <c r="C71" s="9" t="s">
        <v>597</v>
      </c>
      <c r="D71" s="271"/>
      <c r="E71" s="5">
        <v>2060</v>
      </c>
      <c r="F71" s="95"/>
      <c r="G71" s="5"/>
      <c r="H71" s="34"/>
      <c r="I71" s="34"/>
      <c r="J71" s="34"/>
      <c r="K71" s="34"/>
      <c r="M71" s="104"/>
      <c r="N71" s="16"/>
      <c r="O71" s="16"/>
    </row>
    <row r="72" spans="1:15" s="73" customFormat="1" ht="21" x14ac:dyDescent="0.4">
      <c r="A72" s="101">
        <v>1352</v>
      </c>
      <c r="B72" s="99" t="s">
        <v>343</v>
      </c>
      <c r="C72" s="9"/>
      <c r="D72" s="271"/>
      <c r="E72" s="5"/>
      <c r="F72" s="95"/>
      <c r="G72" s="5"/>
      <c r="H72" s="34"/>
      <c r="I72" s="34"/>
      <c r="J72" s="34"/>
      <c r="K72" s="34"/>
      <c r="M72" s="4"/>
      <c r="N72" s="4"/>
      <c r="O72" s="4"/>
    </row>
    <row r="73" spans="1:15" s="73" customFormat="1" ht="21" x14ac:dyDescent="0.4">
      <c r="A73" s="101">
        <v>1355</v>
      </c>
      <c r="B73" s="99" t="s">
        <v>344</v>
      </c>
      <c r="C73" s="9" t="s">
        <v>596</v>
      </c>
      <c r="D73" s="271"/>
      <c r="E73" s="5">
        <v>5611</v>
      </c>
      <c r="F73" s="95"/>
      <c r="G73" s="5">
        <v>6000</v>
      </c>
      <c r="H73" s="34"/>
      <c r="I73" s="34"/>
      <c r="J73" s="34"/>
      <c r="K73" s="34"/>
      <c r="M73" s="4"/>
      <c r="N73" s="4"/>
      <c r="O73" s="4"/>
    </row>
    <row r="74" spans="1:15" s="73" customFormat="1" ht="21" x14ac:dyDescent="0.4">
      <c r="A74" s="101">
        <v>1359</v>
      </c>
      <c r="B74" s="99" t="s">
        <v>166</v>
      </c>
      <c r="C74" s="9"/>
      <c r="D74" s="271"/>
      <c r="E74" s="5"/>
      <c r="F74" s="95"/>
      <c r="G74" s="5"/>
      <c r="H74" s="34"/>
      <c r="I74" s="34"/>
      <c r="J74" s="34"/>
      <c r="K74" s="34"/>
      <c r="M74" s="4"/>
      <c r="N74" s="4"/>
      <c r="O74" s="4"/>
    </row>
    <row r="75" spans="1:15" s="73" customFormat="1" ht="21" x14ac:dyDescent="0.4">
      <c r="A75" s="101">
        <v>1363</v>
      </c>
      <c r="B75" s="99" t="s">
        <v>167</v>
      </c>
      <c r="C75" s="9"/>
      <c r="D75" s="271"/>
      <c r="E75" s="5"/>
      <c r="F75" s="95"/>
      <c r="G75" s="5"/>
      <c r="H75" s="34"/>
      <c r="I75" s="34"/>
      <c r="J75" s="34"/>
      <c r="K75" s="34"/>
      <c r="M75" s="4"/>
      <c r="N75" s="4"/>
      <c r="O75" s="4"/>
    </row>
    <row r="76" spans="1:15" s="73" customFormat="1" ht="21" x14ac:dyDescent="0.4">
      <c r="A76" s="101">
        <v>1367</v>
      </c>
      <c r="B76" s="99" t="s">
        <v>168</v>
      </c>
      <c r="C76" s="9"/>
      <c r="D76" s="271"/>
      <c r="E76" s="5"/>
      <c r="F76" s="95"/>
      <c r="G76" s="5"/>
      <c r="H76" s="34"/>
      <c r="I76" s="34"/>
      <c r="J76" s="34"/>
      <c r="K76" s="34"/>
      <c r="M76" s="4"/>
      <c r="N76" s="4"/>
      <c r="O76" s="4"/>
    </row>
    <row r="77" spans="1:15" s="73" customFormat="1" ht="21" x14ac:dyDescent="0.4">
      <c r="A77" s="101">
        <v>1370</v>
      </c>
      <c r="B77" s="99" t="s">
        <v>169</v>
      </c>
      <c r="C77" s="9"/>
      <c r="D77" s="271"/>
      <c r="E77" s="5"/>
      <c r="F77" s="95"/>
      <c r="G77" s="5"/>
      <c r="H77" s="34"/>
      <c r="I77" s="34"/>
      <c r="J77" s="34"/>
      <c r="K77" s="34"/>
      <c r="M77" s="4"/>
      <c r="N77" s="4"/>
      <c r="O77" s="4"/>
    </row>
    <row r="78" spans="1:15" s="73" customFormat="1" ht="21" x14ac:dyDescent="0.4">
      <c r="A78" s="101">
        <v>1373</v>
      </c>
      <c r="B78" s="99" t="s">
        <v>170</v>
      </c>
      <c r="C78" s="9"/>
      <c r="D78" s="271"/>
      <c r="E78" s="5"/>
      <c r="F78" s="95"/>
      <c r="G78" s="5"/>
      <c r="H78" s="34"/>
      <c r="I78" s="34"/>
      <c r="J78" s="34"/>
      <c r="K78" s="34"/>
      <c r="M78" s="4"/>
      <c r="N78" s="4"/>
      <c r="O78" s="4"/>
    </row>
    <row r="79" spans="1:15" s="73" customFormat="1" ht="21" x14ac:dyDescent="0.4">
      <c r="A79" s="101">
        <v>1376</v>
      </c>
      <c r="B79" s="99" t="s">
        <v>171</v>
      </c>
      <c r="C79" s="10" t="s">
        <v>598</v>
      </c>
      <c r="D79" s="271"/>
      <c r="E79" s="5">
        <v>38332.68</v>
      </c>
      <c r="F79" s="95"/>
      <c r="G79" s="5"/>
      <c r="H79" s="34"/>
      <c r="I79" s="34"/>
      <c r="J79" s="34"/>
      <c r="K79" s="34"/>
      <c r="M79" s="4"/>
      <c r="N79" s="4"/>
      <c r="O79" s="4"/>
    </row>
    <row r="80" spans="1:15" s="73" customFormat="1" ht="21" x14ac:dyDescent="0.4">
      <c r="A80" s="101">
        <v>1379</v>
      </c>
      <c r="B80" s="99" t="s">
        <v>172</v>
      </c>
      <c r="C80" s="10" t="s">
        <v>599</v>
      </c>
      <c r="D80" s="271"/>
      <c r="E80" s="5">
        <v>13547</v>
      </c>
      <c r="F80" s="95"/>
      <c r="G80" s="5"/>
      <c r="H80" s="34"/>
      <c r="I80" s="34"/>
      <c r="J80" s="34"/>
      <c r="K80" s="34"/>
      <c r="L80" s="34"/>
      <c r="M80" s="4"/>
      <c r="N80" s="4"/>
      <c r="O80" s="4"/>
    </row>
    <row r="81" spans="1:15" s="73" customFormat="1" ht="21" x14ac:dyDescent="0.4">
      <c r="A81" s="101">
        <v>1382</v>
      </c>
      <c r="B81" s="99" t="s">
        <v>173</v>
      </c>
      <c r="C81" s="10"/>
      <c r="D81" s="271"/>
      <c r="E81" s="5"/>
      <c r="F81" s="95"/>
      <c r="G81" s="5"/>
      <c r="H81" s="34"/>
      <c r="I81" s="34"/>
      <c r="J81" s="34"/>
      <c r="K81" s="34"/>
      <c r="L81" s="34"/>
      <c r="M81" s="4"/>
      <c r="N81" s="4"/>
      <c r="O81" s="4"/>
    </row>
    <row r="82" spans="1:15" s="73" customFormat="1" ht="21" x14ac:dyDescent="0.4">
      <c r="A82" s="101">
        <v>1385</v>
      </c>
      <c r="B82" s="99" t="s">
        <v>563</v>
      </c>
      <c r="C82" s="10"/>
      <c r="D82" s="271"/>
      <c r="E82" s="5"/>
      <c r="F82" s="95"/>
      <c r="G82" s="5"/>
      <c r="H82" s="34"/>
      <c r="I82" s="34"/>
      <c r="J82" s="34"/>
      <c r="K82" s="34"/>
      <c r="L82" s="34"/>
      <c r="M82" s="4"/>
      <c r="N82" s="4"/>
      <c r="O82" s="4"/>
    </row>
    <row r="83" spans="1:15" s="73" customFormat="1" ht="21" x14ac:dyDescent="0.4">
      <c r="A83" s="101">
        <v>1388</v>
      </c>
      <c r="B83" s="99" t="s">
        <v>564</v>
      </c>
      <c r="C83" s="10"/>
      <c r="D83" s="271"/>
      <c r="E83" s="5"/>
      <c r="F83" s="95"/>
      <c r="G83" s="5"/>
      <c r="H83" s="34"/>
      <c r="I83" s="34"/>
      <c r="J83" s="34"/>
      <c r="K83" s="34"/>
      <c r="L83" s="34"/>
      <c r="M83" s="4"/>
      <c r="N83" s="4"/>
      <c r="O83" s="4"/>
    </row>
    <row r="84" spans="1:15" s="73" customFormat="1" ht="21" x14ac:dyDescent="0.4">
      <c r="A84" s="101">
        <v>1391</v>
      </c>
      <c r="B84" s="99" t="s">
        <v>565</v>
      </c>
      <c r="C84" s="10"/>
      <c r="D84" s="271"/>
      <c r="E84" s="5"/>
      <c r="F84" s="95"/>
      <c r="G84" s="5"/>
      <c r="H84" s="34"/>
      <c r="I84" s="34"/>
      <c r="J84" s="34"/>
      <c r="K84" s="34"/>
      <c r="L84" s="34"/>
      <c r="M84" s="4"/>
      <c r="N84" s="4"/>
      <c r="O84" s="4"/>
    </row>
    <row r="85" spans="1:15" s="73" customFormat="1" ht="21" x14ac:dyDescent="0.4">
      <c r="A85" s="101">
        <v>1394</v>
      </c>
      <c r="B85" s="99" t="s">
        <v>566</v>
      </c>
      <c r="C85" s="10"/>
      <c r="D85" s="271"/>
      <c r="E85" s="5"/>
      <c r="F85" s="95"/>
      <c r="G85" s="5"/>
      <c r="H85" s="34"/>
      <c r="I85" s="34"/>
      <c r="J85" s="34"/>
      <c r="K85" s="34"/>
      <c r="L85" s="34"/>
      <c r="M85" s="4"/>
      <c r="N85" s="4"/>
      <c r="O85" s="4"/>
    </row>
    <row r="86" spans="1:15" s="73" customFormat="1" ht="21" x14ac:dyDescent="0.4">
      <c r="A86" s="101">
        <v>1397</v>
      </c>
      <c r="B86" s="99" t="s">
        <v>567</v>
      </c>
      <c r="C86" s="10"/>
      <c r="D86" s="271"/>
      <c r="E86" s="5"/>
      <c r="F86" s="95"/>
      <c r="G86" s="5"/>
      <c r="H86" s="34"/>
      <c r="I86" s="34"/>
      <c r="J86" s="34"/>
      <c r="K86" s="34"/>
      <c r="L86" s="34"/>
      <c r="M86" s="4"/>
      <c r="N86" s="4"/>
      <c r="O86" s="4"/>
    </row>
    <row r="87" spans="1:15" s="73" customFormat="1" ht="21" x14ac:dyDescent="0.4">
      <c r="A87" s="99"/>
      <c r="B87" s="99" t="s">
        <v>174</v>
      </c>
      <c r="C87" s="101"/>
      <c r="D87" s="271"/>
      <c r="E87" s="7">
        <f>SUM(E62:E86)</f>
        <v>173257.53</v>
      </c>
      <c r="F87" s="7"/>
      <c r="G87" s="7">
        <f>SUM(G62:G86)</f>
        <v>102000</v>
      </c>
      <c r="H87" s="36"/>
      <c r="I87" s="34"/>
      <c r="J87" s="34"/>
      <c r="K87" s="34"/>
      <c r="M87" s="4"/>
      <c r="N87" s="4"/>
      <c r="O87" s="4"/>
    </row>
    <row r="88" spans="1:15" s="73" customFormat="1" ht="21" x14ac:dyDescent="0.4">
      <c r="A88" s="99">
        <v>1500</v>
      </c>
      <c r="B88" s="99" t="s">
        <v>65</v>
      </c>
      <c r="C88" s="99"/>
      <c r="D88" s="99"/>
      <c r="E88" s="7"/>
      <c r="F88" s="11"/>
      <c r="G88" s="11"/>
      <c r="H88" s="36"/>
      <c r="I88" s="34"/>
      <c r="J88" s="34"/>
      <c r="K88" s="34"/>
      <c r="M88" s="12"/>
      <c r="N88" s="12"/>
      <c r="O88" s="12"/>
    </row>
    <row r="89" spans="1:15" s="73" customFormat="1" ht="21" x14ac:dyDescent="0.4">
      <c r="A89" s="34">
        <v>1501</v>
      </c>
      <c r="B89" s="34" t="s">
        <v>65</v>
      </c>
      <c r="C89" s="34"/>
      <c r="D89" s="34"/>
      <c r="E89" s="5"/>
      <c r="F89" s="95"/>
      <c r="G89" s="5"/>
      <c r="H89" s="36"/>
      <c r="I89" s="34"/>
      <c r="J89" s="34"/>
      <c r="K89" s="34"/>
      <c r="M89" s="16"/>
      <c r="N89" s="16"/>
      <c r="O89" s="16"/>
    </row>
    <row r="90" spans="1:15" s="73" customFormat="1" ht="21" x14ac:dyDescent="0.4">
      <c r="A90" s="99">
        <v>1549</v>
      </c>
      <c r="B90" s="99" t="s">
        <v>345</v>
      </c>
      <c r="C90" s="99"/>
      <c r="D90" s="99"/>
      <c r="E90" s="7">
        <f>E89</f>
        <v>0</v>
      </c>
      <c r="F90" s="7"/>
      <c r="G90" s="7">
        <f>G89</f>
        <v>0</v>
      </c>
      <c r="H90" s="36"/>
      <c r="I90" s="34"/>
      <c r="J90" s="34"/>
      <c r="K90" s="34"/>
      <c r="M90" s="4"/>
      <c r="N90" s="4"/>
      <c r="O90" s="4"/>
    </row>
    <row r="91" spans="1:15" s="73" customFormat="1" ht="21" x14ac:dyDescent="0.4">
      <c r="A91" s="99">
        <v>1550</v>
      </c>
      <c r="B91" s="99" t="s">
        <v>346</v>
      </c>
      <c r="C91" s="99"/>
      <c r="D91" s="99"/>
      <c r="E91" s="11"/>
      <c r="F91" s="11"/>
      <c r="G91" s="11"/>
      <c r="H91" s="36"/>
      <c r="I91" s="34"/>
      <c r="J91" s="34"/>
      <c r="K91" s="34"/>
      <c r="M91" s="4"/>
      <c r="N91" s="4"/>
      <c r="O91" s="4"/>
    </row>
    <row r="92" spans="1:15" s="73" customFormat="1" ht="21" x14ac:dyDescent="0.4">
      <c r="A92" s="34">
        <v>1551</v>
      </c>
      <c r="B92" s="34" t="s">
        <v>176</v>
      </c>
      <c r="C92" s="34"/>
      <c r="D92" s="34"/>
      <c r="E92" s="5"/>
      <c r="F92" s="95"/>
      <c r="G92" s="5"/>
      <c r="H92" s="86" t="s">
        <v>347</v>
      </c>
      <c r="I92" s="34"/>
      <c r="J92" s="34"/>
      <c r="K92" s="34"/>
      <c r="M92" s="95"/>
      <c r="N92" s="95"/>
      <c r="O92" s="95"/>
    </row>
    <row r="93" spans="1:15" s="73" customFormat="1" ht="21" x14ac:dyDescent="0.4">
      <c r="A93" s="34">
        <v>1552</v>
      </c>
      <c r="B93" s="34" t="s">
        <v>348</v>
      </c>
      <c r="C93" s="34"/>
      <c r="D93" s="34"/>
      <c r="E93" s="5">
        <v>118.75</v>
      </c>
      <c r="F93" s="95"/>
      <c r="G93" s="5"/>
      <c r="H93" s="34"/>
      <c r="I93" s="34"/>
      <c r="J93" s="34"/>
      <c r="K93" s="34"/>
      <c r="M93" s="16"/>
      <c r="N93" s="16"/>
      <c r="O93" s="16"/>
    </row>
    <row r="94" spans="1:15" s="73" customFormat="1" ht="21" x14ac:dyDescent="0.4">
      <c r="A94" s="34">
        <v>1553</v>
      </c>
      <c r="B94" s="34" t="s">
        <v>527</v>
      </c>
      <c r="C94" s="34"/>
      <c r="D94" s="34"/>
      <c r="E94" s="5"/>
      <c r="F94" s="95"/>
      <c r="G94" s="5"/>
      <c r="H94" s="34"/>
      <c r="I94" s="34"/>
      <c r="J94" s="34"/>
      <c r="K94" s="34"/>
      <c r="M94" s="16"/>
      <c r="N94" s="16"/>
      <c r="O94" s="16"/>
    </row>
    <row r="95" spans="1:15" s="73" customFormat="1" ht="21" x14ac:dyDescent="0.4">
      <c r="A95" s="34">
        <v>1554</v>
      </c>
      <c r="B95" s="34" t="s">
        <v>349</v>
      </c>
      <c r="C95" s="34"/>
      <c r="D95" s="34"/>
      <c r="E95" s="5"/>
      <c r="F95" s="95"/>
      <c r="G95" s="5"/>
      <c r="H95" s="34"/>
      <c r="I95" s="34"/>
      <c r="J95" s="34"/>
      <c r="K95" s="34"/>
      <c r="M95" s="16"/>
      <c r="N95" s="16"/>
      <c r="O95" s="16"/>
    </row>
    <row r="96" spans="1:15" s="73" customFormat="1" ht="21" x14ac:dyDescent="0.4">
      <c r="A96" s="34">
        <v>1556</v>
      </c>
      <c r="B96" s="34" t="s">
        <v>179</v>
      </c>
      <c r="C96" s="34"/>
      <c r="D96" s="34"/>
      <c r="E96" s="5">
        <v>4765.75</v>
      </c>
      <c r="F96" s="95"/>
      <c r="G96" s="5">
        <v>1000</v>
      </c>
      <c r="H96" s="34"/>
      <c r="I96" s="34"/>
      <c r="J96" s="34"/>
      <c r="K96" s="34"/>
      <c r="M96" s="95"/>
      <c r="N96" s="95"/>
      <c r="O96" s="95"/>
    </row>
    <row r="97" spans="1:15" s="73" customFormat="1" ht="21" x14ac:dyDescent="0.4">
      <c r="A97" s="34">
        <v>1558</v>
      </c>
      <c r="B97" s="34" t="s">
        <v>180</v>
      </c>
      <c r="C97" s="34"/>
      <c r="D97" s="34"/>
      <c r="E97" s="5"/>
      <c r="F97" s="95"/>
      <c r="G97" s="5"/>
      <c r="H97" s="34"/>
      <c r="I97" s="34"/>
      <c r="J97" s="34"/>
      <c r="K97" s="34"/>
      <c r="M97" s="16"/>
      <c r="N97" s="16"/>
      <c r="O97" s="16"/>
    </row>
    <row r="98" spans="1:15" s="73" customFormat="1" ht="21" x14ac:dyDescent="0.4">
      <c r="A98" s="34">
        <v>1559</v>
      </c>
      <c r="B98" s="34" t="s">
        <v>350</v>
      </c>
      <c r="C98" s="34"/>
      <c r="D98" s="34"/>
      <c r="E98" s="5"/>
      <c r="F98" s="95"/>
      <c r="G98" s="5"/>
      <c r="H98" s="34"/>
      <c r="I98" s="34"/>
      <c r="J98" s="34"/>
      <c r="K98" s="34"/>
      <c r="M98" s="16"/>
      <c r="N98" s="16"/>
      <c r="O98" s="16"/>
    </row>
    <row r="99" spans="1:15" s="73" customFormat="1" ht="21" x14ac:dyDescent="0.4">
      <c r="A99" s="34">
        <v>1560</v>
      </c>
      <c r="B99" s="34" t="s">
        <v>181</v>
      </c>
      <c r="C99" s="34"/>
      <c r="D99" s="34"/>
      <c r="E99" s="5"/>
      <c r="F99" s="95"/>
      <c r="G99" s="5"/>
      <c r="H99" s="34"/>
      <c r="I99" s="34"/>
      <c r="J99" s="34"/>
      <c r="K99" s="34"/>
      <c r="M99" s="16"/>
      <c r="N99" s="16"/>
      <c r="O99" s="16"/>
    </row>
    <row r="100" spans="1:15" s="73" customFormat="1" ht="21" x14ac:dyDescent="0.4">
      <c r="A100" s="34">
        <v>1561</v>
      </c>
      <c r="B100" s="34" t="s">
        <v>332</v>
      </c>
      <c r="C100" s="34"/>
      <c r="D100" s="34"/>
      <c r="E100" s="5">
        <v>504</v>
      </c>
      <c r="F100" s="95"/>
      <c r="G100" s="5"/>
      <c r="H100" s="34"/>
      <c r="I100" s="34"/>
      <c r="J100" s="34"/>
      <c r="K100" s="34"/>
      <c r="M100" s="16"/>
      <c r="N100" s="16"/>
      <c r="O100" s="16"/>
    </row>
    <row r="101" spans="1:15" s="73" customFormat="1" ht="21" x14ac:dyDescent="0.4">
      <c r="A101" s="34">
        <v>1562</v>
      </c>
      <c r="B101" s="34" t="s">
        <v>183</v>
      </c>
      <c r="C101" s="34"/>
      <c r="D101" s="34"/>
      <c r="E101" s="5"/>
      <c r="F101" s="95"/>
      <c r="G101" s="5"/>
      <c r="H101" s="34"/>
      <c r="I101" s="34"/>
      <c r="J101" s="34"/>
      <c r="K101" s="34"/>
      <c r="M101" s="16"/>
      <c r="N101" s="16"/>
      <c r="O101" s="16"/>
    </row>
    <row r="102" spans="1:15" s="73" customFormat="1" ht="21" x14ac:dyDescent="0.4">
      <c r="A102" s="34">
        <v>1563</v>
      </c>
      <c r="B102" s="34" t="s">
        <v>139</v>
      </c>
      <c r="C102" s="34"/>
      <c r="D102" s="34"/>
      <c r="E102" s="5">
        <v>1898</v>
      </c>
      <c r="F102" s="95"/>
      <c r="G102" s="5"/>
      <c r="I102" s="34"/>
      <c r="J102" s="34"/>
      <c r="K102" s="34"/>
      <c r="M102" s="95"/>
      <c r="N102" s="95"/>
      <c r="O102" s="95"/>
    </row>
    <row r="103" spans="1:15" s="73" customFormat="1" ht="21" x14ac:dyDescent="0.4">
      <c r="A103" s="34">
        <v>1564</v>
      </c>
      <c r="B103" s="34" t="s">
        <v>138</v>
      </c>
      <c r="C103" s="34"/>
      <c r="D103" s="34"/>
      <c r="E103" s="5">
        <v>6314.48</v>
      </c>
      <c r="F103" s="95"/>
      <c r="G103" s="5">
        <v>3500</v>
      </c>
      <c r="H103" s="86" t="s">
        <v>543</v>
      </c>
      <c r="I103" s="34"/>
      <c r="J103" s="34"/>
      <c r="K103" s="34"/>
      <c r="M103" s="95"/>
      <c r="N103" s="95"/>
      <c r="O103" s="95"/>
    </row>
    <row r="104" spans="1:15" s="73" customFormat="1" ht="21" x14ac:dyDescent="0.4">
      <c r="A104" s="99">
        <v>1599</v>
      </c>
      <c r="B104" s="99" t="s">
        <v>351</v>
      </c>
      <c r="C104" s="99"/>
      <c r="D104" s="99"/>
      <c r="E104" s="11">
        <f>SUM(E92:E103)</f>
        <v>13600.98</v>
      </c>
      <c r="F104" s="11"/>
      <c r="G104" s="11">
        <f>SUM(G92:G103)</f>
        <v>4500</v>
      </c>
      <c r="H104" s="36"/>
      <c r="I104" s="34"/>
      <c r="J104" s="34"/>
      <c r="K104" s="34"/>
      <c r="M104" s="12"/>
      <c r="N104" s="12"/>
      <c r="O104" s="12"/>
    </row>
    <row r="105" spans="1:15" s="73" customFormat="1" ht="21" x14ac:dyDescent="0.4">
      <c r="A105" s="99">
        <v>1600</v>
      </c>
      <c r="B105" s="99" t="s">
        <v>67</v>
      </c>
      <c r="C105" s="99"/>
      <c r="D105" s="99"/>
      <c r="E105" s="11"/>
      <c r="F105" s="11"/>
      <c r="G105" s="11"/>
      <c r="H105" s="36"/>
      <c r="I105" s="34"/>
      <c r="J105" s="34"/>
      <c r="K105" s="34"/>
      <c r="M105" s="12"/>
      <c r="N105" s="12"/>
      <c r="O105" s="12"/>
    </row>
    <row r="106" spans="1:15" s="73" customFormat="1" ht="21" x14ac:dyDescent="0.4">
      <c r="A106" s="34">
        <v>1602</v>
      </c>
      <c r="B106" s="34" t="s">
        <v>352</v>
      </c>
      <c r="C106" s="34"/>
      <c r="D106" s="34"/>
      <c r="E106" s="5">
        <v>1142</v>
      </c>
      <c r="F106" s="95"/>
      <c r="G106" s="5">
        <v>900</v>
      </c>
      <c r="H106" s="34"/>
      <c r="I106" s="34"/>
      <c r="J106" s="34"/>
      <c r="K106" s="34"/>
      <c r="M106" s="104"/>
      <c r="N106" s="16"/>
      <c r="O106" s="16"/>
    </row>
    <row r="107" spans="1:15" s="73" customFormat="1" ht="21" x14ac:dyDescent="0.4">
      <c r="A107" s="34">
        <v>1603</v>
      </c>
      <c r="B107" s="34" t="s">
        <v>353</v>
      </c>
      <c r="C107" s="34"/>
      <c r="D107" s="34"/>
      <c r="E107" s="5"/>
      <c r="F107" s="95"/>
      <c r="G107" s="5"/>
      <c r="H107" s="34"/>
      <c r="I107" s="34"/>
      <c r="J107" s="34"/>
      <c r="K107" s="34"/>
      <c r="M107" s="16"/>
      <c r="N107" s="16"/>
      <c r="O107" s="16"/>
    </row>
    <row r="108" spans="1:15" s="73" customFormat="1" ht="21" x14ac:dyDescent="0.4">
      <c r="A108" s="36">
        <v>1645</v>
      </c>
      <c r="B108" s="99" t="s">
        <v>354</v>
      </c>
      <c r="C108" s="99"/>
      <c r="D108" s="99"/>
      <c r="E108" s="13">
        <f>SUM(+E106+E107)</f>
        <v>1142</v>
      </c>
      <c r="F108" s="13"/>
      <c r="G108" s="13">
        <f>SUM(G106:G107)</f>
        <v>900</v>
      </c>
      <c r="H108" s="34"/>
      <c r="I108" s="34"/>
      <c r="J108" s="34"/>
      <c r="K108" s="34"/>
      <c r="M108" s="4"/>
      <c r="N108" s="4"/>
      <c r="O108" s="4"/>
    </row>
    <row r="109" spans="1:15" s="73" customFormat="1" ht="21" x14ac:dyDescent="0.4">
      <c r="A109" s="90">
        <v>1646</v>
      </c>
      <c r="B109" s="90" t="s">
        <v>355</v>
      </c>
      <c r="C109" s="90"/>
      <c r="D109" s="90"/>
      <c r="E109" s="8">
        <f>E59+E87+E90+E104+E108</f>
        <v>748265.12</v>
      </c>
      <c r="F109" s="8"/>
      <c r="G109" s="8">
        <f>G59+G87+G90+G104+G108</f>
        <v>612900</v>
      </c>
      <c r="H109" s="102"/>
      <c r="I109" s="34"/>
      <c r="J109" s="34"/>
      <c r="K109" s="34"/>
      <c r="M109" s="12"/>
      <c r="N109" s="12"/>
      <c r="O109" s="12"/>
    </row>
    <row r="110" spans="1:15" s="73" customFormat="1" ht="21" x14ac:dyDescent="0.4">
      <c r="A110" s="90">
        <v>1647</v>
      </c>
      <c r="B110" s="90" t="s">
        <v>356</v>
      </c>
      <c r="C110" s="90"/>
      <c r="D110" s="90"/>
      <c r="E110" s="8">
        <f>SUM(E38+E109)</f>
        <v>-139333.04999999993</v>
      </c>
      <c r="F110" s="8"/>
      <c r="G110" s="8">
        <f>SUM(G38+G109)</f>
        <v>-37600</v>
      </c>
      <c r="H110" s="102"/>
      <c r="I110" s="34"/>
      <c r="J110" s="34"/>
      <c r="K110" s="34"/>
      <c r="M110" s="12"/>
      <c r="N110" s="12"/>
      <c r="O110" s="12"/>
    </row>
    <row r="111" spans="1:15" s="73" customFormat="1" ht="21" x14ac:dyDescent="0.4">
      <c r="A111" s="99">
        <v>1650</v>
      </c>
      <c r="B111" s="99" t="s">
        <v>357</v>
      </c>
      <c r="C111" s="99"/>
      <c r="D111" s="99"/>
      <c r="E111" s="14"/>
      <c r="F111" s="14"/>
      <c r="G111" s="14"/>
      <c r="H111" s="34"/>
      <c r="I111" s="34"/>
      <c r="J111" s="34"/>
      <c r="K111" s="34"/>
      <c r="M111" s="12"/>
      <c r="N111" s="12"/>
      <c r="O111" s="12"/>
    </row>
    <row r="112" spans="1:15" s="73" customFormat="1" ht="21" customHeight="1" x14ac:dyDescent="0.4">
      <c r="A112" s="105">
        <v>1655</v>
      </c>
      <c r="B112" s="105" t="s">
        <v>358</v>
      </c>
      <c r="C112" s="105"/>
      <c r="D112" s="105"/>
      <c r="E112" s="5"/>
      <c r="F112" s="95"/>
      <c r="G112" s="5"/>
      <c r="H112" s="86" t="s">
        <v>359</v>
      </c>
      <c r="I112" s="86"/>
      <c r="J112" s="86"/>
      <c r="K112" s="86"/>
      <c r="L112" s="86"/>
      <c r="M112" s="86"/>
      <c r="N112" s="16"/>
      <c r="O112" s="16"/>
    </row>
    <row r="113" spans="1:15" s="73" customFormat="1" ht="20.25" customHeight="1" x14ac:dyDescent="0.4">
      <c r="A113" s="105">
        <v>1658</v>
      </c>
      <c r="B113" s="105" t="s">
        <v>187</v>
      </c>
      <c r="C113" s="105"/>
      <c r="D113" s="105"/>
      <c r="E113" s="5">
        <v>15000</v>
      </c>
      <c r="F113" s="95"/>
      <c r="G113" s="5"/>
      <c r="H113" s="86" t="s">
        <v>360</v>
      </c>
      <c r="I113" s="86"/>
      <c r="J113" s="86"/>
      <c r="K113" s="86"/>
      <c r="L113" s="86"/>
      <c r="M113" s="86"/>
      <c r="N113" s="16"/>
      <c r="O113" s="16"/>
    </row>
    <row r="114" spans="1:15" s="73" customFormat="1" ht="21" x14ac:dyDescent="0.4">
      <c r="A114" s="99">
        <v>1659</v>
      </c>
      <c r="B114" s="99" t="s">
        <v>361</v>
      </c>
      <c r="C114" s="99"/>
      <c r="D114" s="99"/>
      <c r="E114" s="14">
        <f>SUM(E112:E113)</f>
        <v>15000</v>
      </c>
      <c r="F114" s="14"/>
      <c r="G114" s="14">
        <f>SUM(G112:G113)</f>
        <v>0</v>
      </c>
      <c r="H114" s="34"/>
      <c r="I114" s="34"/>
      <c r="J114" s="34"/>
      <c r="K114" s="34"/>
      <c r="M114" s="12"/>
      <c r="N114" s="12"/>
      <c r="O114" s="12"/>
    </row>
    <row r="115" spans="1:15" s="73" customFormat="1" ht="21" x14ac:dyDescent="0.4">
      <c r="A115" s="90">
        <v>4990</v>
      </c>
      <c r="B115" s="90" t="s">
        <v>362</v>
      </c>
      <c r="C115" s="90"/>
      <c r="D115" s="90"/>
      <c r="E115" s="8">
        <f>+E110+E114</f>
        <v>-124333.04999999993</v>
      </c>
      <c r="F115" s="8"/>
      <c r="G115" s="8">
        <f>+G110+G114</f>
        <v>-37600</v>
      </c>
      <c r="H115" s="106" t="s">
        <v>363</v>
      </c>
      <c r="I115" s="34"/>
      <c r="J115" s="34"/>
      <c r="K115" s="34"/>
      <c r="M115" s="12"/>
      <c r="N115" s="12"/>
      <c r="O115" s="12"/>
    </row>
    <row r="116" spans="1:15" s="73" customFormat="1" ht="21" x14ac:dyDescent="0.4">
      <c r="A116" s="99"/>
      <c r="B116" s="107" t="s">
        <v>364</v>
      </c>
      <c r="C116" s="99"/>
      <c r="D116" s="99"/>
      <c r="E116" s="11"/>
      <c r="F116" s="11"/>
      <c r="G116" s="11"/>
      <c r="H116" s="108"/>
      <c r="I116" s="34"/>
      <c r="J116" s="34"/>
      <c r="K116" s="34"/>
      <c r="M116" s="12"/>
      <c r="N116" s="12"/>
      <c r="O116" s="12"/>
    </row>
    <row r="117" spans="1:15" s="73" customFormat="1" ht="21" x14ac:dyDescent="0.4">
      <c r="A117" s="86"/>
      <c r="B117" s="109" t="s">
        <v>195</v>
      </c>
      <c r="C117" s="110"/>
      <c r="D117" s="110"/>
      <c r="E117" s="17">
        <f>+Hjælpeberegner!B16</f>
        <v>102424</v>
      </c>
      <c r="F117" s="111"/>
      <c r="G117" s="13"/>
      <c r="H117" s="86" t="s">
        <v>365</v>
      </c>
      <c r="I117" s="34"/>
      <c r="J117" s="34"/>
      <c r="K117" s="34"/>
      <c r="M117" s="12"/>
      <c r="N117" s="12"/>
      <c r="O117" s="12"/>
    </row>
    <row r="118" spans="1:15" s="73" customFormat="1" ht="21" x14ac:dyDescent="0.4">
      <c r="A118" s="86"/>
      <c r="B118" s="109" t="s">
        <v>366</v>
      </c>
      <c r="C118" s="110"/>
      <c r="D118" s="110"/>
      <c r="E118" s="17">
        <f>+Hjælpeberegner!B25</f>
        <v>0</v>
      </c>
      <c r="F118" s="111"/>
      <c r="G118" s="13"/>
      <c r="H118" s="86" t="s">
        <v>365</v>
      </c>
      <c r="I118" s="34"/>
      <c r="J118" s="34"/>
      <c r="K118" s="34"/>
      <c r="M118" s="12"/>
      <c r="N118" s="12"/>
      <c r="O118" s="12"/>
    </row>
    <row r="119" spans="1:15" s="73" customFormat="1" ht="21" x14ac:dyDescent="0.4">
      <c r="A119" s="86"/>
      <c r="B119" s="109" t="s">
        <v>368</v>
      </c>
      <c r="C119" s="110"/>
      <c r="D119" s="110"/>
      <c r="E119" s="17">
        <f>+Hjælpeberegner!B35-Hjælpeberegner!B29</f>
        <v>17417.806999999997</v>
      </c>
      <c r="F119" s="111"/>
      <c r="G119" s="13"/>
      <c r="H119" s="86" t="s">
        <v>367</v>
      </c>
      <c r="I119" s="34"/>
      <c r="J119" s="34"/>
      <c r="K119" s="34"/>
      <c r="M119" s="12"/>
      <c r="N119" s="12"/>
      <c r="O119" s="12"/>
    </row>
    <row r="120" spans="1:15" s="73" customFormat="1" ht="21" x14ac:dyDescent="0.4">
      <c r="A120" s="86"/>
      <c r="B120" s="107" t="s">
        <v>369</v>
      </c>
      <c r="C120" s="112"/>
      <c r="D120" s="112"/>
      <c r="E120" s="24">
        <f>SUM(E115:E119)</f>
        <v>-4491.2429999999331</v>
      </c>
      <c r="F120" s="113"/>
      <c r="G120" s="13"/>
      <c r="H120" s="311" t="s">
        <v>370</v>
      </c>
      <c r="I120" s="311"/>
      <c r="J120" s="311"/>
      <c r="K120" s="311"/>
      <c r="M120" s="12"/>
      <c r="N120" s="12"/>
      <c r="O120" s="12"/>
    </row>
    <row r="121" spans="1:15" s="73" customFormat="1" ht="21.75" thickBot="1" x14ac:dyDescent="0.45">
      <c r="A121" s="114" t="s">
        <v>81</v>
      </c>
      <c r="B121" s="114"/>
      <c r="C121" s="114"/>
      <c r="D121" s="114"/>
      <c r="E121" s="115"/>
      <c r="F121" s="113"/>
      <c r="G121" s="13"/>
      <c r="H121" s="311"/>
      <c r="I121" s="311"/>
      <c r="J121" s="311"/>
      <c r="K121" s="311"/>
      <c r="M121" s="12"/>
      <c r="N121" s="12"/>
      <c r="O121" s="12"/>
    </row>
    <row r="122" spans="1:15" s="73" customFormat="1" ht="21" x14ac:dyDescent="0.4">
      <c r="A122" s="90">
        <v>5000</v>
      </c>
      <c r="B122" s="90" t="s">
        <v>115</v>
      </c>
      <c r="C122" s="90"/>
      <c r="D122" s="90"/>
      <c r="E122" s="8"/>
      <c r="F122" s="113"/>
      <c r="G122" s="13"/>
      <c r="H122" s="34"/>
      <c r="I122" s="34"/>
      <c r="J122" s="34"/>
      <c r="K122" s="34"/>
      <c r="M122" s="12"/>
      <c r="N122" s="12"/>
      <c r="O122" s="12"/>
    </row>
    <row r="123" spans="1:15" s="73" customFormat="1" ht="21" x14ac:dyDescent="0.4">
      <c r="A123" s="116"/>
      <c r="B123" s="90" t="s">
        <v>371</v>
      </c>
      <c r="C123" s="90"/>
      <c r="D123" s="90"/>
      <c r="E123" s="117" t="str">
        <f>+Hjælpeberegner!B7</f>
        <v>FAKTISK 2025</v>
      </c>
      <c r="F123" s="113"/>
      <c r="H123" s="309" t="s">
        <v>372</v>
      </c>
      <c r="I123" s="309"/>
      <c r="J123" s="309"/>
      <c r="K123" s="309"/>
      <c r="L123" s="118"/>
      <c r="M123" s="12"/>
      <c r="N123" s="12"/>
      <c r="O123" s="12"/>
    </row>
    <row r="124" spans="1:15" s="73" customFormat="1" ht="21" x14ac:dyDescent="0.4">
      <c r="A124" s="34">
        <v>5312</v>
      </c>
      <c r="B124" s="34" t="s">
        <v>373</v>
      </c>
      <c r="C124" s="34"/>
      <c r="D124" s="34"/>
      <c r="E124" s="5">
        <v>166667.28</v>
      </c>
      <c r="F124" s="113"/>
      <c r="G124" s="13"/>
      <c r="I124" s="34"/>
      <c r="J124" s="34"/>
      <c r="K124" s="34"/>
      <c r="M124" s="95"/>
      <c r="N124" s="95"/>
      <c r="O124" s="95"/>
    </row>
    <row r="125" spans="1:15" s="73" customFormat="1" ht="21" x14ac:dyDescent="0.4">
      <c r="A125" s="36">
        <v>5499</v>
      </c>
      <c r="B125" s="36" t="s">
        <v>85</v>
      </c>
      <c r="C125" s="36"/>
      <c r="D125" s="36"/>
      <c r="E125" s="13">
        <f>+E124</f>
        <v>166667.28</v>
      </c>
      <c r="F125" s="113"/>
      <c r="G125" s="13"/>
      <c r="H125" s="98" t="s">
        <v>314</v>
      </c>
      <c r="I125" s="34"/>
      <c r="J125" s="34"/>
      <c r="K125" s="34"/>
      <c r="M125" s="4"/>
      <c r="N125" s="4"/>
      <c r="O125" s="4"/>
    </row>
    <row r="126" spans="1:15" s="73" customFormat="1" ht="21" x14ac:dyDescent="0.4">
      <c r="A126" s="90">
        <v>5500</v>
      </c>
      <c r="B126" s="90" t="s">
        <v>374</v>
      </c>
      <c r="C126" s="90"/>
      <c r="D126" s="90"/>
      <c r="E126" s="8"/>
      <c r="F126" s="113"/>
      <c r="G126" s="13"/>
      <c r="H126" s="98" t="s">
        <v>315</v>
      </c>
      <c r="I126" s="34"/>
      <c r="J126" s="34"/>
      <c r="K126" s="34"/>
      <c r="M126" s="12"/>
      <c r="N126" s="12"/>
      <c r="O126" s="12"/>
    </row>
    <row r="127" spans="1:15" s="73" customFormat="1" ht="21" x14ac:dyDescent="0.4">
      <c r="A127" s="34">
        <v>5600</v>
      </c>
      <c r="B127" s="34" t="s">
        <v>89</v>
      </c>
      <c r="C127" s="34"/>
      <c r="D127" s="34"/>
      <c r="E127" s="5"/>
      <c r="F127" s="113"/>
      <c r="G127" s="13"/>
      <c r="H127" s="34"/>
      <c r="I127" s="34"/>
      <c r="J127" s="34"/>
      <c r="K127" s="34"/>
      <c r="M127" s="16"/>
      <c r="N127" s="16"/>
      <c r="O127" s="16"/>
    </row>
    <row r="128" spans="1:15" s="73" customFormat="1" ht="21" x14ac:dyDescent="0.4">
      <c r="A128" s="34">
        <v>5660</v>
      </c>
      <c r="B128" s="34" t="s">
        <v>90</v>
      </c>
      <c r="C128" s="34"/>
      <c r="D128" s="34"/>
      <c r="E128" s="5">
        <v>49997.5</v>
      </c>
      <c r="F128" s="95"/>
      <c r="G128" s="13"/>
      <c r="H128" s="34"/>
      <c r="I128" s="34"/>
      <c r="J128" s="34"/>
      <c r="K128" s="34"/>
      <c r="M128" s="16"/>
      <c r="N128" s="16"/>
      <c r="O128" s="16"/>
    </row>
    <row r="129" spans="1:15" s="73" customFormat="1" ht="21" x14ac:dyDescent="0.4">
      <c r="A129" s="34">
        <v>5810</v>
      </c>
      <c r="B129" s="34" t="s">
        <v>375</v>
      </c>
      <c r="C129" s="34"/>
      <c r="D129" s="34"/>
      <c r="E129" s="5">
        <v>7398</v>
      </c>
      <c r="F129" s="95"/>
      <c r="G129" s="13"/>
      <c r="H129" s="310"/>
      <c r="I129" s="310"/>
      <c r="J129" s="310"/>
      <c r="K129" s="310"/>
      <c r="M129" s="95"/>
      <c r="N129" s="95"/>
      <c r="O129" s="95"/>
    </row>
    <row r="130" spans="1:15" s="73" customFormat="1" ht="21" x14ac:dyDescent="0.4">
      <c r="A130" s="34">
        <v>5820</v>
      </c>
      <c r="B130" s="34" t="s">
        <v>376</v>
      </c>
      <c r="C130" s="34"/>
      <c r="D130" s="34"/>
      <c r="E130" s="5">
        <v>2180.7800000000002</v>
      </c>
      <c r="F130" s="95"/>
      <c r="G130" s="13"/>
      <c r="H130" s="34"/>
      <c r="I130" s="34"/>
      <c r="J130" s="34"/>
      <c r="K130" s="34"/>
      <c r="M130" s="95"/>
      <c r="N130" s="95"/>
      <c r="O130" s="95"/>
    </row>
    <row r="131" spans="1:15" s="73" customFormat="1" ht="21" x14ac:dyDescent="0.4">
      <c r="A131" s="34">
        <v>5830</v>
      </c>
      <c r="B131" s="34" t="s">
        <v>377</v>
      </c>
      <c r="C131" s="34"/>
      <c r="D131" s="34"/>
      <c r="E131" s="5">
        <v>254959.35</v>
      </c>
      <c r="F131" s="95"/>
      <c r="G131" s="13"/>
      <c r="H131" s="34"/>
      <c r="I131" s="34"/>
      <c r="J131" s="34"/>
      <c r="K131" s="34"/>
      <c r="M131" s="16"/>
      <c r="N131" s="16"/>
      <c r="O131" s="16"/>
    </row>
    <row r="132" spans="1:15" s="73" customFormat="1" ht="21" x14ac:dyDescent="0.4">
      <c r="A132" s="34">
        <v>5840</v>
      </c>
      <c r="B132" s="34" t="s">
        <v>377</v>
      </c>
      <c r="C132" s="34"/>
      <c r="D132" s="34"/>
      <c r="E132" s="5">
        <v>4107.5</v>
      </c>
      <c r="F132" s="95"/>
      <c r="G132" s="13"/>
      <c r="H132" s="34"/>
      <c r="I132" s="34"/>
      <c r="J132" s="34"/>
      <c r="K132" s="34"/>
      <c r="M132" s="16"/>
      <c r="N132" s="16"/>
      <c r="O132" s="16"/>
    </row>
    <row r="133" spans="1:15" s="73" customFormat="1" ht="21" x14ac:dyDescent="0.4">
      <c r="A133" s="34">
        <v>5850</v>
      </c>
      <c r="B133" s="34" t="s">
        <v>377</v>
      </c>
      <c r="C133" s="34"/>
      <c r="D133" s="34"/>
      <c r="E133" s="5"/>
      <c r="F133" s="95"/>
      <c r="G133" s="13"/>
      <c r="H133" s="34"/>
      <c r="I133" s="34"/>
      <c r="J133" s="34"/>
      <c r="K133" s="34"/>
      <c r="M133" s="16"/>
      <c r="N133" s="16"/>
      <c r="O133" s="16"/>
    </row>
    <row r="134" spans="1:15" s="73" customFormat="1" ht="21" x14ac:dyDescent="0.4">
      <c r="A134" s="34">
        <v>5860</v>
      </c>
      <c r="B134" s="34" t="s">
        <v>377</v>
      </c>
      <c r="C134" s="34"/>
      <c r="D134" s="34"/>
      <c r="E134" s="5"/>
      <c r="F134" s="95"/>
      <c r="G134" s="13"/>
      <c r="H134" s="34"/>
      <c r="I134" s="34"/>
      <c r="J134" s="34"/>
      <c r="K134" s="34"/>
      <c r="M134" s="16"/>
      <c r="N134" s="16"/>
      <c r="O134" s="16"/>
    </row>
    <row r="135" spans="1:15" s="73" customFormat="1" ht="21.75" thickBot="1" x14ac:dyDescent="0.45">
      <c r="A135" s="34">
        <v>5870</v>
      </c>
      <c r="B135" s="34" t="s">
        <v>377</v>
      </c>
      <c r="C135" s="34"/>
      <c r="D135" s="34"/>
      <c r="E135" s="5"/>
      <c r="F135" s="95"/>
      <c r="G135" s="13"/>
      <c r="H135" s="34"/>
      <c r="I135" s="34"/>
      <c r="J135" s="34"/>
      <c r="K135" s="34"/>
      <c r="M135" s="16"/>
      <c r="N135" s="16"/>
      <c r="O135" s="16"/>
    </row>
    <row r="136" spans="1:15" s="73" customFormat="1" ht="21.75" thickBot="1" x14ac:dyDescent="0.45">
      <c r="A136" s="34">
        <v>5880</v>
      </c>
      <c r="B136" s="34" t="s">
        <v>377</v>
      </c>
      <c r="C136" s="34"/>
      <c r="D136" s="34"/>
      <c r="E136" s="5"/>
      <c r="F136" s="95"/>
      <c r="H136" s="66" t="s">
        <v>378</v>
      </c>
      <c r="I136" s="119"/>
      <c r="J136" s="120"/>
      <c r="K136" s="34"/>
      <c r="M136" s="16"/>
      <c r="N136" s="16"/>
      <c r="O136" s="16"/>
    </row>
    <row r="137" spans="1:15" s="73" customFormat="1" ht="21" x14ac:dyDescent="0.4">
      <c r="A137" s="34">
        <v>5885</v>
      </c>
      <c r="B137" s="34" t="s">
        <v>549</v>
      </c>
      <c r="C137" s="34"/>
      <c r="D137" s="34"/>
      <c r="E137" s="5"/>
      <c r="F137" s="95"/>
      <c r="H137" s="67" t="s">
        <v>380</v>
      </c>
      <c r="I137" s="68"/>
      <c r="J137" s="70">
        <f>+Balance!C23</f>
        <v>485310.41000000003</v>
      </c>
      <c r="K137" s="34"/>
      <c r="M137" s="16"/>
      <c r="N137" s="16"/>
      <c r="O137" s="16"/>
    </row>
    <row r="138" spans="1:15" s="73" customFormat="1" ht="21.75" thickBot="1" x14ac:dyDescent="0.45">
      <c r="A138" s="34">
        <v>5890</v>
      </c>
      <c r="B138" s="34" t="s">
        <v>550</v>
      </c>
      <c r="C138" s="34"/>
      <c r="D138" s="34"/>
      <c r="E138" s="5"/>
      <c r="F138" s="95"/>
      <c r="H138" s="67" t="s">
        <v>382</v>
      </c>
      <c r="I138" s="68"/>
      <c r="J138" s="70">
        <f>+E141</f>
        <v>485310.41000000003</v>
      </c>
      <c r="K138" s="34"/>
      <c r="M138" s="16"/>
      <c r="N138" s="16"/>
      <c r="O138" s="16"/>
    </row>
    <row r="139" spans="1:15" s="73" customFormat="1" ht="21.75" thickBot="1" x14ac:dyDescent="0.45">
      <c r="A139" s="34">
        <v>5895</v>
      </c>
      <c r="B139" s="34" t="s">
        <v>551</v>
      </c>
      <c r="C139" s="34"/>
      <c r="D139" s="34"/>
      <c r="E139" s="5"/>
      <c r="F139" s="95"/>
      <c r="H139" s="71" t="s">
        <v>79</v>
      </c>
      <c r="I139" s="69"/>
      <c r="J139" s="72">
        <f>ROUND((J137-J138),0)</f>
        <v>0</v>
      </c>
      <c r="K139" s="34"/>
      <c r="M139" s="16"/>
      <c r="N139" s="16"/>
      <c r="O139" s="16"/>
    </row>
    <row r="140" spans="1:15" s="73" customFormat="1" ht="21" x14ac:dyDescent="0.4">
      <c r="A140" s="36">
        <v>5980</v>
      </c>
      <c r="B140" s="36" t="s">
        <v>379</v>
      </c>
      <c r="C140" s="36"/>
      <c r="D140" s="36"/>
      <c r="E140" s="13">
        <f>SUM(E127:E139)</f>
        <v>318643.13</v>
      </c>
      <c r="F140" s="13"/>
      <c r="K140" s="34"/>
      <c r="M140" s="4"/>
      <c r="N140" s="4"/>
      <c r="O140" s="4"/>
    </row>
    <row r="141" spans="1:15" s="73" customFormat="1" ht="21" x14ac:dyDescent="0.4">
      <c r="A141" s="90">
        <v>5990</v>
      </c>
      <c r="B141" s="90" t="s">
        <v>381</v>
      </c>
      <c r="C141" s="90"/>
      <c r="D141" s="90"/>
      <c r="E141" s="94">
        <f>E125+E140</f>
        <v>485310.41000000003</v>
      </c>
      <c r="F141" s="113"/>
      <c r="K141" s="34"/>
      <c r="M141" s="4"/>
      <c r="N141" s="4"/>
      <c r="O141" s="4"/>
    </row>
    <row r="142" spans="1:15" s="73" customFormat="1" ht="21" x14ac:dyDescent="0.4">
      <c r="A142" s="121">
        <v>6000</v>
      </c>
      <c r="B142" s="121" t="s">
        <v>383</v>
      </c>
      <c r="C142" s="121"/>
      <c r="D142" s="121"/>
      <c r="E142" s="122"/>
      <c r="F142" s="113"/>
      <c r="K142" s="34"/>
      <c r="M142" s="16"/>
      <c r="N142" s="16"/>
      <c r="O142" s="16"/>
    </row>
    <row r="143" spans="1:15" s="73" customFormat="1" ht="21" x14ac:dyDescent="0.4">
      <c r="A143" s="36">
        <v>6100</v>
      </c>
      <c r="B143" s="36" t="s">
        <v>384</v>
      </c>
      <c r="C143" s="36"/>
      <c r="D143" s="36"/>
      <c r="E143" s="103"/>
      <c r="F143" s="103"/>
      <c r="G143" s="103"/>
      <c r="H143" s="34"/>
      <c r="I143" s="34"/>
      <c r="J143" s="34"/>
      <c r="K143" s="34"/>
      <c r="M143" s="103"/>
      <c r="N143" s="103"/>
      <c r="O143" s="103"/>
    </row>
    <row r="144" spans="1:15" s="123" customFormat="1" ht="21" x14ac:dyDescent="0.4">
      <c r="A144" s="34">
        <v>6110</v>
      </c>
      <c r="B144" s="34" t="s">
        <v>385</v>
      </c>
      <c r="C144" s="34"/>
      <c r="D144" s="34"/>
      <c r="E144" s="5">
        <v>-273715.36</v>
      </c>
      <c r="F144" s="15"/>
      <c r="H144" s="6"/>
      <c r="I144" s="124"/>
      <c r="J144" s="124"/>
      <c r="K144" s="124"/>
      <c r="L144" s="125"/>
      <c r="M144" s="100"/>
      <c r="N144" s="16"/>
      <c r="O144" s="16"/>
    </row>
    <row r="145" spans="1:15" s="123" customFormat="1" ht="21" x14ac:dyDescent="0.4">
      <c r="A145" s="34"/>
      <c r="B145" s="109" t="s">
        <v>530</v>
      </c>
      <c r="C145" s="34"/>
      <c r="D145" s="34"/>
      <c r="E145" s="126">
        <f>-Resultat!C36-Resultat!C38</f>
        <v>0</v>
      </c>
      <c r="F145" s="15"/>
      <c r="G145" s="86" t="s">
        <v>387</v>
      </c>
      <c r="H145" s="6"/>
      <c r="I145" s="124"/>
      <c r="J145" s="124"/>
      <c r="K145" s="124"/>
      <c r="L145" s="125"/>
      <c r="M145" s="100"/>
      <c r="N145" s="16"/>
      <c r="O145" s="16"/>
    </row>
    <row r="146" spans="1:15" s="73" customFormat="1" ht="21" x14ac:dyDescent="0.4">
      <c r="A146" s="34">
        <v>6112</v>
      </c>
      <c r="B146" s="34" t="s">
        <v>386</v>
      </c>
      <c r="C146" s="34"/>
      <c r="D146" s="34"/>
      <c r="E146" s="126">
        <f>-Resultat!C39</f>
        <v>-21909.04999999993</v>
      </c>
      <c r="F146" s="6"/>
      <c r="G146" s="86" t="s">
        <v>387</v>
      </c>
      <c r="I146" s="34"/>
      <c r="J146" s="34"/>
      <c r="K146" s="34"/>
      <c r="M146" s="16"/>
      <c r="N146" s="103"/>
      <c r="O146" s="16"/>
    </row>
    <row r="147" spans="1:15" s="73" customFormat="1" ht="21" x14ac:dyDescent="0.4">
      <c r="A147" s="127">
        <v>6114</v>
      </c>
      <c r="B147" s="34" t="s">
        <v>556</v>
      </c>
      <c r="C147" s="128"/>
      <c r="D147" s="128"/>
      <c r="E147" s="23">
        <f>+Balance!C45</f>
        <v>0</v>
      </c>
      <c r="F147" s="15"/>
      <c r="G147" s="86" t="s">
        <v>388</v>
      </c>
      <c r="I147" s="34"/>
      <c r="J147" s="34"/>
      <c r="K147" s="34"/>
      <c r="M147" s="16"/>
      <c r="N147" s="16"/>
      <c r="O147" s="16"/>
    </row>
    <row r="148" spans="1:15" s="73" customFormat="1" ht="21" x14ac:dyDescent="0.4">
      <c r="A148" s="36">
        <v>6199</v>
      </c>
      <c r="B148" s="36" t="s">
        <v>389</v>
      </c>
      <c r="C148" s="36"/>
      <c r="D148" s="36"/>
      <c r="E148" s="13">
        <f>SUM(E144:E147)</f>
        <v>-295624.40999999992</v>
      </c>
      <c r="F148" s="13"/>
      <c r="G148" s="7"/>
      <c r="I148" s="34"/>
      <c r="J148" s="34"/>
      <c r="K148" s="34"/>
      <c r="M148" s="4"/>
      <c r="N148" s="4"/>
      <c r="O148" s="4"/>
    </row>
    <row r="149" spans="1:15" s="73" customFormat="1" ht="21" x14ac:dyDescent="0.4">
      <c r="A149" s="36">
        <v>6300</v>
      </c>
      <c r="B149" s="36" t="s">
        <v>390</v>
      </c>
      <c r="C149" s="36"/>
      <c r="D149" s="36"/>
      <c r="E149" s="13"/>
      <c r="F149" s="13"/>
      <c r="G149" s="7"/>
      <c r="I149" s="34"/>
      <c r="J149" s="34"/>
      <c r="K149" s="34"/>
      <c r="M149" s="4"/>
      <c r="N149" s="4"/>
      <c r="O149" s="4"/>
    </row>
    <row r="150" spans="1:15" s="73" customFormat="1" ht="21" x14ac:dyDescent="0.4">
      <c r="A150" s="34">
        <v>6301</v>
      </c>
      <c r="B150" s="34" t="s">
        <v>391</v>
      </c>
      <c r="C150" s="34"/>
      <c r="D150" s="34"/>
      <c r="E150" s="5"/>
      <c r="F150" s="15"/>
      <c r="G150" s="86" t="s">
        <v>392</v>
      </c>
      <c r="I150" s="34"/>
      <c r="J150" s="34"/>
      <c r="K150" s="34"/>
      <c r="M150" s="16"/>
      <c r="N150" s="16"/>
      <c r="O150" s="16"/>
    </row>
    <row r="151" spans="1:15" s="73" customFormat="1" ht="21" x14ac:dyDescent="0.4">
      <c r="A151" s="34"/>
      <c r="B151" s="109" t="s">
        <v>516</v>
      </c>
      <c r="C151" s="34"/>
      <c r="D151" s="34"/>
      <c r="E151" s="126">
        <f>-Resultat!C35</f>
        <v>0</v>
      </c>
      <c r="F151" s="15"/>
      <c r="G151" s="86" t="s">
        <v>515</v>
      </c>
      <c r="I151" s="34"/>
      <c r="J151" s="34"/>
      <c r="K151" s="34"/>
      <c r="M151" s="16"/>
      <c r="N151" s="16"/>
      <c r="O151" s="16"/>
    </row>
    <row r="152" spans="1:15" s="73" customFormat="1" ht="21" x14ac:dyDescent="0.4">
      <c r="A152" s="34">
        <v>6305</v>
      </c>
      <c r="B152" s="34" t="s">
        <v>393</v>
      </c>
      <c r="C152" s="34"/>
      <c r="D152" s="34"/>
      <c r="E152" s="5"/>
      <c r="F152" s="15"/>
      <c r="G152" s="86" t="s">
        <v>392</v>
      </c>
      <c r="I152" s="34"/>
      <c r="J152" s="34"/>
      <c r="K152" s="34"/>
      <c r="M152" s="16"/>
      <c r="N152" s="16"/>
      <c r="O152" s="16"/>
    </row>
    <row r="153" spans="1:15" s="73" customFormat="1" ht="21" x14ac:dyDescent="0.4">
      <c r="A153" s="34"/>
      <c r="B153" s="109" t="s">
        <v>517</v>
      </c>
      <c r="C153" s="34"/>
      <c r="D153" s="34"/>
      <c r="E153" s="23">
        <f>-Resultat!C37</f>
        <v>0</v>
      </c>
      <c r="F153" s="15"/>
      <c r="G153" s="86" t="s">
        <v>515</v>
      </c>
      <c r="I153" s="34"/>
      <c r="J153" s="34"/>
      <c r="K153" s="34"/>
      <c r="M153" s="16"/>
      <c r="N153" s="16"/>
      <c r="O153" s="16"/>
    </row>
    <row r="154" spans="1:15" s="73" customFormat="1" ht="21" x14ac:dyDescent="0.4">
      <c r="A154" s="36">
        <v>6309</v>
      </c>
      <c r="B154" s="36" t="s">
        <v>394</v>
      </c>
      <c r="C154" s="36"/>
      <c r="D154" s="36"/>
      <c r="E154" s="7">
        <f>SUM(E150:E153)</f>
        <v>0</v>
      </c>
      <c r="F154" s="13"/>
      <c r="G154" s="7"/>
      <c r="I154" s="34"/>
      <c r="J154" s="34"/>
      <c r="K154" s="34"/>
      <c r="M154" s="4"/>
      <c r="N154" s="4"/>
      <c r="O154" s="4"/>
    </row>
    <row r="155" spans="1:15" s="73" customFormat="1" ht="21" x14ac:dyDescent="0.4">
      <c r="A155" s="36">
        <v>6600</v>
      </c>
      <c r="B155" s="36" t="s">
        <v>395</v>
      </c>
      <c r="C155" s="36"/>
      <c r="D155" s="36"/>
      <c r="E155" s="7"/>
      <c r="F155" s="13"/>
      <c r="G155" s="7"/>
      <c r="I155" s="34"/>
      <c r="J155" s="34"/>
      <c r="K155" s="34"/>
      <c r="M155" s="4"/>
      <c r="N155" s="4"/>
      <c r="O155" s="4"/>
    </row>
    <row r="156" spans="1:15" s="73" customFormat="1" ht="21" x14ac:dyDescent="0.4">
      <c r="A156" s="34">
        <v>6800</v>
      </c>
      <c r="B156" s="34" t="s">
        <v>396</v>
      </c>
      <c r="C156" s="34"/>
      <c r="D156" s="34"/>
      <c r="E156" s="5"/>
      <c r="F156" s="15"/>
      <c r="G156" s="6"/>
      <c r="I156" s="34"/>
      <c r="J156" s="34"/>
      <c r="K156" s="34"/>
      <c r="M156" s="16"/>
      <c r="N156" s="16"/>
      <c r="O156" s="16"/>
    </row>
    <row r="157" spans="1:15" s="73" customFormat="1" ht="21" x14ac:dyDescent="0.4">
      <c r="A157" s="34">
        <v>6810</v>
      </c>
      <c r="B157" s="34" t="s">
        <v>397</v>
      </c>
      <c r="C157" s="34"/>
      <c r="D157" s="34"/>
      <c r="E157" s="126">
        <f>-Hjælpeberegner!B16</f>
        <v>-102424</v>
      </c>
      <c r="F157" s="6"/>
      <c r="G157" s="86" t="s">
        <v>398</v>
      </c>
      <c r="I157" s="34"/>
      <c r="J157" s="34"/>
      <c r="K157" s="34"/>
      <c r="M157" s="16"/>
      <c r="N157" s="16"/>
      <c r="O157" s="16"/>
    </row>
    <row r="158" spans="1:15" s="73" customFormat="1" ht="21" x14ac:dyDescent="0.4">
      <c r="A158" s="34">
        <v>6830</v>
      </c>
      <c r="B158" s="34" t="s">
        <v>399</v>
      </c>
      <c r="C158" s="128"/>
      <c r="D158" s="128"/>
      <c r="E158" s="126">
        <f>-E147</f>
        <v>0</v>
      </c>
      <c r="F158" s="6"/>
      <c r="G158" s="86" t="s">
        <v>63</v>
      </c>
      <c r="I158" s="34"/>
      <c r="J158" s="34"/>
      <c r="K158" s="34"/>
      <c r="M158" s="16"/>
      <c r="N158" s="16"/>
      <c r="O158" s="16"/>
    </row>
    <row r="159" spans="1:15" s="73" customFormat="1" ht="21" x14ac:dyDescent="0.4">
      <c r="A159" s="34">
        <v>6831</v>
      </c>
      <c r="B159" s="34" t="s">
        <v>400</v>
      </c>
      <c r="C159" s="34"/>
      <c r="D159" s="34"/>
      <c r="E159" s="5">
        <v>-81640</v>
      </c>
      <c r="F159" s="95"/>
      <c r="K159" s="34"/>
      <c r="M159" s="95"/>
      <c r="N159" s="95"/>
      <c r="O159" s="95"/>
    </row>
    <row r="160" spans="1:15" s="73" customFormat="1" ht="21" x14ac:dyDescent="0.4">
      <c r="A160" s="105">
        <v>6840</v>
      </c>
      <c r="B160" s="105" t="s">
        <v>108</v>
      </c>
      <c r="C160" s="105"/>
      <c r="D160" s="105"/>
      <c r="E160" s="5"/>
      <c r="F160" s="129"/>
      <c r="G160" s="130"/>
      <c r="I160" s="131"/>
      <c r="J160" s="131"/>
      <c r="K160" s="131"/>
      <c r="L160" s="131"/>
      <c r="M160" s="131"/>
      <c r="N160" s="95"/>
      <c r="O160" s="95"/>
    </row>
    <row r="161" spans="1:15" s="73" customFormat="1" ht="21" x14ac:dyDescent="0.4">
      <c r="A161" s="34">
        <v>6845</v>
      </c>
      <c r="B161" s="34" t="s">
        <v>110</v>
      </c>
      <c r="C161" s="34"/>
      <c r="D161" s="34"/>
      <c r="E161" s="5">
        <v>-5622</v>
      </c>
      <c r="F161" s="15"/>
      <c r="G161" s="86" t="s">
        <v>519</v>
      </c>
      <c r="I161" s="131"/>
      <c r="J161" s="131"/>
      <c r="K161" s="131"/>
      <c r="L161" s="131"/>
      <c r="M161" s="131"/>
      <c r="N161" s="95"/>
      <c r="O161" s="16"/>
    </row>
    <row r="162" spans="1:15" s="73" customFormat="1" ht="21.75" thickBot="1" x14ac:dyDescent="0.45">
      <c r="A162" s="105">
        <v>6850</v>
      </c>
      <c r="B162" s="105" t="s">
        <v>112</v>
      </c>
      <c r="C162" s="105"/>
      <c r="D162" s="105"/>
      <c r="E162" s="5"/>
      <c r="F162" s="129"/>
      <c r="G162" s="129"/>
      <c r="K162" s="132"/>
      <c r="L162" s="132"/>
      <c r="M162" s="132"/>
      <c r="N162" s="95"/>
      <c r="O162" s="95"/>
    </row>
    <row r="163" spans="1:15" s="73" customFormat="1" ht="21.75" thickBot="1" x14ac:dyDescent="0.45">
      <c r="A163" s="36">
        <v>7999</v>
      </c>
      <c r="B163" s="36" t="s">
        <v>401</v>
      </c>
      <c r="C163" s="36"/>
      <c r="D163" s="36"/>
      <c r="E163" s="13">
        <f>SUM(E156:E162)</f>
        <v>-189686</v>
      </c>
      <c r="F163" s="13"/>
      <c r="H163" s="66" t="s">
        <v>402</v>
      </c>
      <c r="I163" s="119"/>
      <c r="J163" s="120"/>
      <c r="K163" s="34"/>
      <c r="M163" s="4"/>
      <c r="N163" s="4"/>
      <c r="O163" s="4"/>
    </row>
    <row r="164" spans="1:15" s="73" customFormat="1" ht="21" x14ac:dyDescent="0.4">
      <c r="A164" s="121">
        <v>8999</v>
      </c>
      <c r="B164" s="121" t="s">
        <v>403</v>
      </c>
      <c r="C164" s="121"/>
      <c r="D164" s="121"/>
      <c r="E164" s="94">
        <f>E148+E154+E163</f>
        <v>-485310.40999999992</v>
      </c>
      <c r="F164" s="113"/>
      <c r="H164" s="67" t="s">
        <v>404</v>
      </c>
      <c r="I164" s="68"/>
      <c r="J164" s="70">
        <f>-Balance!C53</f>
        <v>-485310.40999999992</v>
      </c>
      <c r="K164" s="34"/>
      <c r="M164" s="4"/>
      <c r="N164" s="4"/>
      <c r="O164" s="4"/>
    </row>
    <row r="165" spans="1:15" s="73" customFormat="1" ht="21.75" thickBot="1" x14ac:dyDescent="0.45">
      <c r="A165" s="34"/>
      <c r="F165" s="15"/>
      <c r="H165" s="67" t="s">
        <v>405</v>
      </c>
      <c r="I165" s="68"/>
      <c r="J165" s="70">
        <f>+E164</f>
        <v>-485310.40999999992</v>
      </c>
      <c r="K165" s="34"/>
      <c r="M165" s="16"/>
      <c r="N165" s="16"/>
      <c r="O165" s="16"/>
    </row>
    <row r="166" spans="1:15" s="73" customFormat="1" ht="21.75" thickBot="1" x14ac:dyDescent="0.45">
      <c r="A166" s="34"/>
      <c r="B166" s="34" t="s">
        <v>406</v>
      </c>
      <c r="C166" s="34"/>
      <c r="D166" s="34"/>
      <c r="E166" s="13">
        <f>IF(ROUND(E167,2)=0,0,"AKTIVER &amp; PASSIVER STEMMER IKKE")</f>
        <v>0</v>
      </c>
      <c r="F166" s="15"/>
      <c r="H166" s="71" t="s">
        <v>79</v>
      </c>
      <c r="I166" s="69"/>
      <c r="J166" s="72">
        <f>ROUND((J164-J165),0)</f>
        <v>0</v>
      </c>
      <c r="K166" s="34"/>
    </row>
    <row r="167" spans="1:15" s="73" customFormat="1" ht="21" x14ac:dyDescent="0.4">
      <c r="A167" s="34"/>
      <c r="B167" s="34" t="s">
        <v>407</v>
      </c>
      <c r="C167" s="34"/>
      <c r="D167" s="34"/>
      <c r="E167" s="15">
        <f>E141+E164</f>
        <v>0</v>
      </c>
      <c r="F167" s="15"/>
      <c r="G167" s="15"/>
      <c r="H167" s="34"/>
      <c r="I167" s="34"/>
      <c r="J167" s="34"/>
      <c r="K167" s="34"/>
      <c r="M167" s="16"/>
      <c r="N167" s="16"/>
      <c r="O167" s="16"/>
    </row>
    <row r="168" spans="1:15" s="73" customFormat="1" ht="21" x14ac:dyDescent="0.4">
      <c r="A168" s="34"/>
      <c r="F168" s="15"/>
      <c r="G168" s="15"/>
      <c r="H168" s="34"/>
      <c r="I168" s="34"/>
      <c r="J168" s="34"/>
      <c r="K168" s="34"/>
      <c r="M168" s="16"/>
      <c r="N168" s="16"/>
      <c r="O168" s="16"/>
    </row>
    <row r="169" spans="1:15" s="73" customFormat="1" ht="21" x14ac:dyDescent="0.4">
      <c r="A169" s="34"/>
      <c r="B169" s="34"/>
      <c r="C169" s="34"/>
      <c r="D169" s="34"/>
      <c r="E169" s="15"/>
      <c r="F169" s="15"/>
      <c r="G169" s="15"/>
      <c r="H169" s="34"/>
      <c r="I169" s="34"/>
      <c r="J169" s="34"/>
      <c r="K169" s="34"/>
      <c r="M169" s="16"/>
      <c r="N169" s="16"/>
      <c r="O169" s="16"/>
    </row>
    <row r="170" spans="1:15" x14ac:dyDescent="0.3">
      <c r="B170" s="133"/>
      <c r="C170" s="133"/>
      <c r="D170" s="133"/>
      <c r="E170" s="134"/>
      <c r="F170" s="134"/>
      <c r="G170" s="134"/>
      <c r="M170" s="65"/>
      <c r="N170" s="65"/>
      <c r="O170" s="65"/>
    </row>
    <row r="190" spans="5:15" x14ac:dyDescent="0.3">
      <c r="E190" s="134"/>
      <c r="F190" s="134"/>
      <c r="G190" s="134"/>
      <c r="M190" s="65"/>
      <c r="N190" s="65"/>
      <c r="O190" s="65"/>
    </row>
    <row r="191" spans="5:15" x14ac:dyDescent="0.3">
      <c r="E191" s="134"/>
      <c r="F191" s="134"/>
      <c r="G191" s="134"/>
      <c r="M191" s="65"/>
      <c r="N191" s="65"/>
      <c r="O191" s="65"/>
    </row>
    <row r="192" spans="5:15" x14ac:dyDescent="0.3">
      <c r="E192" s="134"/>
      <c r="F192" s="134"/>
      <c r="G192" s="134"/>
      <c r="M192" s="65"/>
      <c r="N192" s="65"/>
      <c r="O192" s="65"/>
    </row>
    <row r="193" spans="5:15" x14ac:dyDescent="0.3">
      <c r="E193" s="134"/>
      <c r="F193" s="134"/>
      <c r="G193" s="134"/>
      <c r="M193" s="65"/>
      <c r="N193" s="65"/>
      <c r="O193" s="65"/>
    </row>
    <row r="194" spans="5:15" x14ac:dyDescent="0.3">
      <c r="E194" s="134"/>
      <c r="F194" s="134"/>
      <c r="G194" s="134"/>
      <c r="M194" s="65"/>
      <c r="N194" s="65"/>
      <c r="O194" s="65"/>
    </row>
    <row r="195" spans="5:15" x14ac:dyDescent="0.3">
      <c r="E195" s="134"/>
      <c r="F195" s="134"/>
      <c r="G195" s="134"/>
      <c r="M195" s="65"/>
      <c r="N195" s="65"/>
      <c r="O195" s="65"/>
    </row>
    <row r="196" spans="5:15" x14ac:dyDescent="0.3">
      <c r="E196" s="134"/>
      <c r="F196" s="134"/>
      <c r="G196" s="134"/>
      <c r="M196" s="65"/>
      <c r="N196" s="65"/>
      <c r="O196" s="65"/>
    </row>
    <row r="197" spans="5:15" x14ac:dyDescent="0.3">
      <c r="E197" s="134"/>
      <c r="F197" s="134"/>
      <c r="G197" s="134"/>
      <c r="M197" s="65"/>
      <c r="N197" s="65"/>
      <c r="O197" s="65"/>
    </row>
    <row r="198" spans="5:15" x14ac:dyDescent="0.3">
      <c r="E198" s="134"/>
      <c r="F198" s="134"/>
      <c r="G198" s="134"/>
      <c r="M198" s="65"/>
      <c r="N198" s="65"/>
      <c r="O198" s="65"/>
    </row>
    <row r="199" spans="5:15" x14ac:dyDescent="0.3">
      <c r="E199" s="134"/>
      <c r="F199" s="134"/>
      <c r="G199" s="134"/>
      <c r="M199" s="65"/>
      <c r="N199" s="65"/>
      <c r="O199" s="65"/>
    </row>
    <row r="200" spans="5:15" x14ac:dyDescent="0.3">
      <c r="E200" s="134"/>
      <c r="F200" s="134"/>
      <c r="G200" s="134"/>
      <c r="M200" s="65"/>
      <c r="N200" s="65"/>
      <c r="O200" s="65"/>
    </row>
    <row r="201" spans="5:15" x14ac:dyDescent="0.3">
      <c r="E201" s="134"/>
      <c r="F201" s="134"/>
      <c r="G201" s="134"/>
      <c r="M201" s="65"/>
      <c r="N201" s="65"/>
      <c r="O201" s="65"/>
    </row>
    <row r="202" spans="5:15" x14ac:dyDescent="0.3">
      <c r="E202" s="134"/>
      <c r="F202" s="134"/>
      <c r="G202" s="134"/>
      <c r="M202" s="65"/>
      <c r="N202" s="65"/>
      <c r="O202" s="65"/>
    </row>
    <row r="203" spans="5:15" x14ac:dyDescent="0.3">
      <c r="E203" s="134"/>
      <c r="F203" s="134"/>
      <c r="G203" s="134"/>
      <c r="M203" s="65"/>
      <c r="N203" s="65"/>
      <c r="O203" s="65"/>
    </row>
    <row r="204" spans="5:15" x14ac:dyDescent="0.3">
      <c r="E204" s="134"/>
      <c r="F204" s="134"/>
      <c r="G204" s="134"/>
      <c r="M204" s="65"/>
      <c r="N204" s="65"/>
      <c r="O204" s="65"/>
    </row>
    <row r="205" spans="5:15" x14ac:dyDescent="0.3">
      <c r="E205" s="134"/>
      <c r="F205" s="134"/>
      <c r="G205" s="134"/>
      <c r="M205" s="65"/>
      <c r="N205" s="65"/>
      <c r="O205" s="65"/>
    </row>
    <row r="206" spans="5:15" x14ac:dyDescent="0.3">
      <c r="E206" s="134"/>
      <c r="F206" s="134"/>
      <c r="G206" s="134"/>
      <c r="M206" s="65"/>
      <c r="N206" s="65"/>
      <c r="O206" s="65"/>
    </row>
    <row r="207" spans="5:15" x14ac:dyDescent="0.3">
      <c r="E207" s="134"/>
      <c r="F207" s="134"/>
      <c r="G207" s="134"/>
      <c r="M207" s="65"/>
      <c r="N207" s="65"/>
      <c r="O207" s="65"/>
    </row>
    <row r="208" spans="5:15" x14ac:dyDescent="0.3">
      <c r="E208" s="134"/>
      <c r="F208" s="134"/>
      <c r="G208" s="134"/>
      <c r="M208" s="65"/>
      <c r="N208" s="65"/>
      <c r="O208" s="65"/>
    </row>
    <row r="209" spans="5:15" x14ac:dyDescent="0.3">
      <c r="E209" s="134"/>
      <c r="F209" s="134"/>
      <c r="G209" s="134"/>
      <c r="M209" s="65"/>
      <c r="N209" s="65"/>
      <c r="O209" s="65"/>
    </row>
    <row r="210" spans="5:15" x14ac:dyDescent="0.3">
      <c r="E210" s="134"/>
      <c r="F210" s="134"/>
      <c r="G210" s="134"/>
      <c r="M210" s="65"/>
      <c r="N210" s="65"/>
      <c r="O210" s="65"/>
    </row>
    <row r="211" spans="5:15" x14ac:dyDescent="0.3">
      <c r="E211" s="134"/>
      <c r="F211" s="134"/>
      <c r="G211" s="134"/>
      <c r="M211" s="65"/>
      <c r="N211" s="65"/>
      <c r="O211" s="65"/>
    </row>
    <row r="212" spans="5:15" x14ac:dyDescent="0.3">
      <c r="E212" s="134"/>
      <c r="F212" s="134"/>
      <c r="G212" s="134"/>
      <c r="M212" s="65"/>
      <c r="N212" s="65"/>
      <c r="O212" s="65"/>
    </row>
    <row r="213" spans="5:15" x14ac:dyDescent="0.3">
      <c r="E213" s="134"/>
      <c r="F213" s="134"/>
      <c r="G213" s="134"/>
      <c r="M213" s="65"/>
      <c r="N213" s="65"/>
      <c r="O213" s="65"/>
    </row>
    <row r="214" spans="5:15" x14ac:dyDescent="0.3">
      <c r="E214" s="134"/>
      <c r="F214" s="134"/>
      <c r="G214" s="134"/>
      <c r="M214" s="65"/>
      <c r="N214" s="65"/>
      <c r="O214" s="65"/>
    </row>
    <row r="215" spans="5:15" x14ac:dyDescent="0.3">
      <c r="E215" s="134"/>
      <c r="F215" s="134"/>
      <c r="G215" s="134"/>
      <c r="M215" s="65"/>
      <c r="N215" s="65"/>
      <c r="O215" s="65"/>
    </row>
    <row r="216" spans="5:15" x14ac:dyDescent="0.3">
      <c r="E216" s="134"/>
      <c r="F216" s="134"/>
      <c r="G216" s="134"/>
      <c r="M216" s="65"/>
      <c r="N216" s="65"/>
      <c r="O216" s="65"/>
    </row>
    <row r="217" spans="5:15" x14ac:dyDescent="0.3">
      <c r="E217" s="134"/>
      <c r="F217" s="134"/>
      <c r="G217" s="134"/>
      <c r="M217" s="65"/>
      <c r="N217" s="65"/>
      <c r="O217" s="65"/>
    </row>
    <row r="218" spans="5:15" x14ac:dyDescent="0.3">
      <c r="E218" s="134"/>
      <c r="F218" s="134"/>
      <c r="G218" s="134"/>
      <c r="M218" s="65"/>
      <c r="N218" s="65"/>
      <c r="O218" s="65"/>
    </row>
    <row r="219" spans="5:15" x14ac:dyDescent="0.3">
      <c r="E219" s="134"/>
      <c r="F219" s="134"/>
      <c r="G219" s="134"/>
      <c r="M219" s="65"/>
      <c r="N219" s="65"/>
      <c r="O219" s="65"/>
    </row>
    <row r="220" spans="5:15" x14ac:dyDescent="0.3">
      <c r="E220" s="134"/>
      <c r="F220" s="134"/>
      <c r="G220" s="134"/>
      <c r="M220" s="65"/>
      <c r="N220" s="65"/>
      <c r="O220" s="65"/>
    </row>
    <row r="221" spans="5:15" x14ac:dyDescent="0.3">
      <c r="E221" s="134"/>
      <c r="F221" s="134"/>
      <c r="G221" s="134"/>
      <c r="M221" s="65"/>
      <c r="N221" s="65"/>
      <c r="O221" s="65"/>
    </row>
    <row r="222" spans="5:15" x14ac:dyDescent="0.3">
      <c r="E222" s="134"/>
      <c r="F222" s="134"/>
      <c r="G222" s="134"/>
      <c r="M222" s="65"/>
      <c r="N222" s="65"/>
      <c r="O222" s="65"/>
    </row>
    <row r="223" spans="5:15" x14ac:dyDescent="0.3">
      <c r="E223" s="134"/>
      <c r="F223" s="134"/>
      <c r="G223" s="134"/>
      <c r="M223" s="65"/>
      <c r="N223" s="65"/>
      <c r="O223" s="65"/>
    </row>
    <row r="224" spans="5:15" x14ac:dyDescent="0.3">
      <c r="E224" s="134"/>
      <c r="F224" s="134"/>
      <c r="G224" s="134"/>
      <c r="M224" s="65"/>
      <c r="N224" s="65"/>
      <c r="O224" s="65"/>
    </row>
    <row r="225" spans="5:15" x14ac:dyDescent="0.3">
      <c r="E225" s="134"/>
      <c r="F225" s="134"/>
      <c r="G225" s="134"/>
      <c r="M225" s="65"/>
      <c r="N225" s="65"/>
      <c r="O225" s="65"/>
    </row>
    <row r="226" spans="5:15" x14ac:dyDescent="0.3">
      <c r="E226" s="134"/>
      <c r="F226" s="134"/>
      <c r="G226" s="134"/>
      <c r="M226" s="65"/>
      <c r="N226" s="65"/>
      <c r="O226" s="65"/>
    </row>
    <row r="227" spans="5:15" x14ac:dyDescent="0.3">
      <c r="E227" s="134"/>
      <c r="F227" s="134"/>
      <c r="G227" s="134"/>
      <c r="M227" s="65"/>
      <c r="N227" s="65"/>
      <c r="O227" s="65"/>
    </row>
    <row r="228" spans="5:15" x14ac:dyDescent="0.3">
      <c r="E228" s="134"/>
      <c r="F228" s="134"/>
      <c r="G228" s="134"/>
      <c r="M228" s="65"/>
      <c r="N228" s="65"/>
      <c r="O228" s="65"/>
    </row>
    <row r="229" spans="5:15" x14ac:dyDescent="0.3">
      <c r="E229" s="134"/>
      <c r="F229" s="134"/>
      <c r="G229" s="134"/>
      <c r="M229" s="65"/>
      <c r="N229" s="65"/>
      <c r="O229" s="65"/>
    </row>
    <row r="230" spans="5:15" x14ac:dyDescent="0.3">
      <c r="E230" s="134"/>
      <c r="F230" s="134"/>
      <c r="G230" s="134"/>
      <c r="M230" s="65"/>
      <c r="N230" s="65"/>
      <c r="O230" s="65"/>
    </row>
    <row r="231" spans="5:15" x14ac:dyDescent="0.3">
      <c r="E231" s="134"/>
      <c r="F231" s="134"/>
      <c r="G231" s="134"/>
      <c r="M231" s="65"/>
      <c r="N231" s="65"/>
      <c r="O231" s="65"/>
    </row>
    <row r="232" spans="5:15" x14ac:dyDescent="0.3">
      <c r="E232" s="134"/>
      <c r="F232" s="134"/>
      <c r="G232" s="134"/>
      <c r="M232" s="65"/>
      <c r="N232" s="65"/>
      <c r="O232" s="65"/>
    </row>
    <row r="233" spans="5:15" x14ac:dyDescent="0.3">
      <c r="E233" s="134"/>
      <c r="F233" s="134"/>
      <c r="G233" s="134"/>
      <c r="M233" s="65"/>
      <c r="N233" s="65"/>
      <c r="O233" s="65"/>
    </row>
    <row r="234" spans="5:15" x14ac:dyDescent="0.3">
      <c r="E234" s="134"/>
      <c r="F234" s="134"/>
      <c r="G234" s="134"/>
      <c r="M234" s="65"/>
      <c r="N234" s="65"/>
      <c r="O234" s="65"/>
    </row>
    <row r="235" spans="5:15" x14ac:dyDescent="0.3">
      <c r="E235" s="134"/>
      <c r="F235" s="134"/>
      <c r="G235" s="134"/>
      <c r="M235" s="65"/>
      <c r="N235" s="65"/>
      <c r="O235" s="65"/>
    </row>
    <row r="236" spans="5:15" x14ac:dyDescent="0.3">
      <c r="E236" s="134"/>
      <c r="F236" s="134"/>
      <c r="G236" s="134"/>
      <c r="M236" s="65"/>
      <c r="N236" s="65"/>
      <c r="O236" s="65"/>
    </row>
    <row r="237" spans="5:15" x14ac:dyDescent="0.3">
      <c r="E237" s="134"/>
      <c r="F237" s="134"/>
      <c r="G237" s="134"/>
      <c r="M237" s="65"/>
      <c r="N237" s="65"/>
      <c r="O237" s="65"/>
    </row>
    <row r="238" spans="5:15" x14ac:dyDescent="0.3">
      <c r="E238" s="134"/>
      <c r="F238" s="134"/>
      <c r="G238" s="134"/>
      <c r="M238" s="65"/>
      <c r="N238" s="65"/>
      <c r="O238" s="65"/>
    </row>
    <row r="239" spans="5:15" x14ac:dyDescent="0.3">
      <c r="E239" s="134"/>
      <c r="F239" s="134"/>
      <c r="G239" s="134"/>
      <c r="M239" s="65"/>
      <c r="N239" s="65"/>
      <c r="O239" s="65"/>
    </row>
    <row r="240" spans="5:15" x14ac:dyDescent="0.3">
      <c r="E240" s="134"/>
      <c r="F240" s="134"/>
      <c r="G240" s="134"/>
      <c r="M240" s="65"/>
      <c r="N240" s="65"/>
      <c r="O240" s="65"/>
    </row>
    <row r="241" spans="5:15" x14ac:dyDescent="0.3">
      <c r="E241" s="134"/>
      <c r="F241" s="134"/>
      <c r="G241" s="134"/>
      <c r="M241" s="65"/>
      <c r="N241" s="65"/>
      <c r="O241" s="65"/>
    </row>
    <row r="242" spans="5:15" x14ac:dyDescent="0.3">
      <c r="E242" s="134"/>
      <c r="F242" s="134"/>
      <c r="G242" s="134"/>
      <c r="M242" s="65"/>
      <c r="N242" s="65"/>
      <c r="O242" s="65"/>
    </row>
    <row r="243" spans="5:15" x14ac:dyDescent="0.3">
      <c r="E243" s="134"/>
      <c r="F243" s="134"/>
      <c r="G243" s="134"/>
      <c r="M243" s="65"/>
      <c r="N243" s="65"/>
      <c r="O243" s="65"/>
    </row>
    <row r="244" spans="5:15" x14ac:dyDescent="0.3">
      <c r="E244" s="134"/>
      <c r="F244" s="134"/>
      <c r="G244" s="134"/>
      <c r="M244" s="65"/>
      <c r="N244" s="65"/>
      <c r="O244" s="65"/>
    </row>
    <row r="245" spans="5:15" x14ac:dyDescent="0.3">
      <c r="E245" s="134"/>
      <c r="F245" s="134"/>
      <c r="G245" s="134"/>
      <c r="M245" s="65"/>
      <c r="N245" s="65"/>
      <c r="O245" s="65"/>
    </row>
    <row r="246" spans="5:15" x14ac:dyDescent="0.3">
      <c r="E246" s="134"/>
      <c r="F246" s="134"/>
      <c r="G246" s="134"/>
      <c r="M246" s="65"/>
      <c r="N246" s="65"/>
      <c r="O246" s="65"/>
    </row>
    <row r="247" spans="5:15" x14ac:dyDescent="0.3">
      <c r="E247" s="134"/>
      <c r="F247" s="134"/>
      <c r="G247" s="134"/>
      <c r="M247" s="65"/>
      <c r="N247" s="65"/>
      <c r="O247" s="65"/>
    </row>
    <row r="248" spans="5:15" x14ac:dyDescent="0.3">
      <c r="E248" s="134"/>
      <c r="F248" s="134"/>
      <c r="G248" s="134"/>
      <c r="M248" s="65"/>
      <c r="N248" s="65"/>
      <c r="O248" s="65"/>
    </row>
    <row r="249" spans="5:15" x14ac:dyDescent="0.3">
      <c r="E249" s="134"/>
      <c r="F249" s="134"/>
      <c r="G249" s="134"/>
      <c r="M249" s="65"/>
      <c r="N249" s="65"/>
      <c r="O249" s="65"/>
    </row>
    <row r="250" spans="5:15" x14ac:dyDescent="0.3">
      <c r="E250" s="134"/>
      <c r="F250" s="134"/>
      <c r="G250" s="134"/>
      <c r="M250" s="65"/>
      <c r="N250" s="65"/>
      <c r="O250" s="65"/>
    </row>
    <row r="251" spans="5:15" x14ac:dyDescent="0.3">
      <c r="E251" s="134"/>
      <c r="F251" s="134"/>
      <c r="G251" s="134"/>
      <c r="M251" s="65"/>
      <c r="N251" s="65"/>
      <c r="O251" s="65"/>
    </row>
    <row r="252" spans="5:15" x14ac:dyDescent="0.3">
      <c r="E252" s="134"/>
      <c r="F252" s="134"/>
      <c r="G252" s="134"/>
      <c r="M252" s="65"/>
      <c r="N252" s="65"/>
      <c r="O252" s="65"/>
    </row>
    <row r="253" spans="5:15" x14ac:dyDescent="0.3">
      <c r="E253" s="134"/>
      <c r="F253" s="134"/>
      <c r="G253" s="134"/>
      <c r="M253" s="65"/>
      <c r="N253" s="65"/>
      <c r="O253" s="65"/>
    </row>
    <row r="254" spans="5:15" x14ac:dyDescent="0.3">
      <c r="E254" s="134"/>
      <c r="F254" s="134"/>
      <c r="G254" s="134"/>
      <c r="M254" s="65"/>
      <c r="N254" s="65"/>
      <c r="O254" s="65"/>
    </row>
    <row r="255" spans="5:15" x14ac:dyDescent="0.3">
      <c r="E255" s="134"/>
      <c r="F255" s="134"/>
      <c r="G255" s="134"/>
      <c r="M255" s="65"/>
      <c r="N255" s="65"/>
      <c r="O255" s="65"/>
    </row>
    <row r="256" spans="5:15" x14ac:dyDescent="0.3">
      <c r="E256" s="134"/>
      <c r="F256" s="134"/>
      <c r="G256" s="134"/>
      <c r="M256" s="65"/>
      <c r="N256" s="65"/>
      <c r="O256" s="65"/>
    </row>
    <row r="257" spans="5:15" x14ac:dyDescent="0.3">
      <c r="E257" s="134"/>
      <c r="F257" s="134"/>
      <c r="G257" s="134"/>
      <c r="M257" s="65"/>
      <c r="N257" s="65"/>
      <c r="O257" s="65"/>
    </row>
    <row r="258" spans="5:15" x14ac:dyDescent="0.3">
      <c r="E258" s="134"/>
      <c r="F258" s="134"/>
      <c r="G258" s="134"/>
      <c r="M258" s="65"/>
      <c r="N258" s="65"/>
      <c r="O258" s="65"/>
    </row>
    <row r="259" spans="5:15" x14ac:dyDescent="0.3">
      <c r="E259" s="134"/>
      <c r="F259" s="134"/>
      <c r="G259" s="134"/>
      <c r="M259" s="65"/>
      <c r="N259" s="65"/>
      <c r="O259" s="65"/>
    </row>
    <row r="260" spans="5:15" x14ac:dyDescent="0.3">
      <c r="E260" s="134"/>
      <c r="F260" s="134"/>
      <c r="G260" s="134"/>
      <c r="M260" s="65"/>
      <c r="N260" s="65"/>
      <c r="O260" s="65"/>
    </row>
    <row r="261" spans="5:15" x14ac:dyDescent="0.3">
      <c r="E261" s="134"/>
      <c r="F261" s="134"/>
      <c r="G261" s="134"/>
      <c r="M261" s="65"/>
      <c r="N261" s="65"/>
      <c r="O261" s="65"/>
    </row>
    <row r="262" spans="5:15" x14ac:dyDescent="0.3">
      <c r="E262" s="134"/>
      <c r="F262" s="134"/>
      <c r="G262" s="134"/>
      <c r="M262" s="65"/>
      <c r="N262" s="65"/>
      <c r="O262" s="65"/>
    </row>
    <row r="263" spans="5:15" x14ac:dyDescent="0.3">
      <c r="E263" s="134"/>
      <c r="F263" s="134"/>
      <c r="G263" s="134"/>
      <c r="M263" s="65"/>
      <c r="N263" s="65"/>
      <c r="O263" s="65"/>
    </row>
    <row r="264" spans="5:15" x14ac:dyDescent="0.3">
      <c r="E264" s="134"/>
      <c r="F264" s="134"/>
      <c r="G264" s="134"/>
      <c r="M264" s="65"/>
      <c r="N264" s="65"/>
      <c r="O264" s="65"/>
    </row>
    <row r="265" spans="5:15" x14ac:dyDescent="0.3">
      <c r="E265" s="134"/>
      <c r="F265" s="134"/>
      <c r="G265" s="134"/>
      <c r="M265" s="65"/>
      <c r="N265" s="65"/>
      <c r="O265" s="65"/>
    </row>
    <row r="266" spans="5:15" x14ac:dyDescent="0.3">
      <c r="E266" s="134"/>
      <c r="F266" s="134"/>
      <c r="G266" s="134"/>
      <c r="M266" s="65"/>
      <c r="N266" s="65"/>
      <c r="O266" s="65"/>
    </row>
    <row r="267" spans="5:15" x14ac:dyDescent="0.3">
      <c r="E267" s="134"/>
      <c r="F267" s="134"/>
      <c r="G267" s="134"/>
      <c r="M267" s="65"/>
      <c r="N267" s="65"/>
      <c r="O267" s="65"/>
    </row>
    <row r="268" spans="5:15" x14ac:dyDescent="0.3">
      <c r="E268" s="134"/>
      <c r="F268" s="134"/>
      <c r="G268" s="134"/>
      <c r="M268" s="65"/>
      <c r="N268" s="65"/>
      <c r="O268" s="65"/>
    </row>
    <row r="269" spans="5:15" x14ac:dyDescent="0.3">
      <c r="E269" s="134"/>
      <c r="F269" s="134"/>
      <c r="G269" s="134"/>
      <c r="M269" s="65"/>
      <c r="N269" s="65"/>
      <c r="O269" s="65"/>
    </row>
    <row r="270" spans="5:15" x14ac:dyDescent="0.3">
      <c r="E270" s="134"/>
      <c r="F270" s="134"/>
      <c r="G270" s="134"/>
      <c r="M270" s="65"/>
      <c r="N270" s="65"/>
      <c r="O270" s="65"/>
    </row>
    <row r="271" spans="5:15" x14ac:dyDescent="0.3">
      <c r="E271" s="134"/>
      <c r="F271" s="134"/>
      <c r="G271" s="134"/>
      <c r="M271" s="65"/>
      <c r="N271" s="65"/>
      <c r="O271" s="65"/>
    </row>
    <row r="272" spans="5:15" x14ac:dyDescent="0.3">
      <c r="E272" s="134"/>
      <c r="F272" s="134"/>
      <c r="G272" s="134"/>
      <c r="M272" s="65"/>
      <c r="N272" s="65"/>
      <c r="O272" s="65"/>
    </row>
    <row r="273" spans="5:15" x14ac:dyDescent="0.3">
      <c r="E273" s="134"/>
      <c r="F273" s="134"/>
      <c r="G273" s="134"/>
      <c r="M273" s="65"/>
      <c r="N273" s="65"/>
      <c r="O273" s="65"/>
    </row>
    <row r="274" spans="5:15" x14ac:dyDescent="0.3">
      <c r="E274" s="134"/>
      <c r="F274" s="134"/>
      <c r="G274" s="134"/>
      <c r="M274" s="65"/>
      <c r="N274" s="65"/>
      <c r="O274" s="65"/>
    </row>
    <row r="275" spans="5:15" x14ac:dyDescent="0.3">
      <c r="E275" s="134"/>
      <c r="F275" s="134"/>
      <c r="G275" s="134"/>
      <c r="M275" s="65"/>
      <c r="N275" s="65"/>
      <c r="O275" s="65"/>
    </row>
    <row r="276" spans="5:15" x14ac:dyDescent="0.3">
      <c r="E276" s="134"/>
      <c r="F276" s="134"/>
      <c r="G276" s="134"/>
      <c r="M276" s="65"/>
      <c r="N276" s="65"/>
      <c r="O276" s="65"/>
    </row>
    <row r="277" spans="5:15" x14ac:dyDescent="0.3">
      <c r="E277" s="134"/>
      <c r="F277" s="134"/>
      <c r="G277" s="134"/>
      <c r="M277" s="65"/>
      <c r="N277" s="65"/>
      <c r="O277" s="65"/>
    </row>
    <row r="278" spans="5:15" x14ac:dyDescent="0.3">
      <c r="E278" s="134"/>
      <c r="F278" s="134"/>
      <c r="G278" s="134"/>
      <c r="M278" s="65"/>
      <c r="N278" s="65"/>
      <c r="O278" s="65"/>
    </row>
    <row r="279" spans="5:15" x14ac:dyDescent="0.3">
      <c r="E279" s="134"/>
      <c r="F279" s="134"/>
      <c r="G279" s="134"/>
      <c r="M279" s="65"/>
      <c r="N279" s="65"/>
      <c r="O279" s="65"/>
    </row>
    <row r="280" spans="5:15" x14ac:dyDescent="0.3">
      <c r="E280" s="134"/>
      <c r="F280" s="134"/>
      <c r="G280" s="134"/>
      <c r="M280" s="65"/>
      <c r="N280" s="65"/>
      <c r="O280" s="65"/>
    </row>
    <row r="281" spans="5:15" x14ac:dyDescent="0.3">
      <c r="E281" s="134"/>
      <c r="F281" s="134"/>
      <c r="G281" s="134"/>
      <c r="M281" s="65"/>
      <c r="N281" s="65"/>
      <c r="O281" s="65"/>
    </row>
    <row r="282" spans="5:15" x14ac:dyDescent="0.3">
      <c r="E282" s="134"/>
      <c r="F282" s="134"/>
      <c r="G282" s="134"/>
      <c r="M282" s="65"/>
      <c r="N282" s="65"/>
      <c r="O282" s="65"/>
    </row>
    <row r="283" spans="5:15" x14ac:dyDescent="0.3">
      <c r="E283" s="134"/>
      <c r="F283" s="134"/>
      <c r="G283" s="134"/>
      <c r="M283" s="65"/>
      <c r="N283" s="65"/>
      <c r="O283" s="65"/>
    </row>
    <row r="284" spans="5:15" x14ac:dyDescent="0.3">
      <c r="E284" s="134"/>
      <c r="F284" s="134"/>
      <c r="G284" s="134"/>
      <c r="M284" s="65"/>
      <c r="N284" s="65"/>
      <c r="O284" s="65"/>
    </row>
    <row r="285" spans="5:15" x14ac:dyDescent="0.3">
      <c r="E285" s="134"/>
      <c r="F285" s="134"/>
      <c r="G285" s="134"/>
      <c r="M285" s="65"/>
      <c r="N285" s="65"/>
      <c r="O285" s="65"/>
    </row>
    <row r="286" spans="5:15" x14ac:dyDescent="0.3">
      <c r="E286" s="134"/>
      <c r="F286" s="134"/>
      <c r="G286" s="134"/>
      <c r="M286" s="65"/>
      <c r="N286" s="65"/>
      <c r="O286" s="65"/>
    </row>
  </sheetData>
  <sheetProtection algorithmName="SHA-512" hashValue="mIguYFD7dS/OjcutxjA4SMGJSCHYhhD6FcZJ3fVCvUdMZYwEbSCV+ETohUzlgbBfXT8C18qotB14bDpLLBVQmA==" saltValue="9PR4Gh9cpBDTJkJrubMEYQ==" spinCount="100000" sheet="1" objects="1" scenarios="1"/>
  <mergeCells count="3">
    <mergeCell ref="H123:K123"/>
    <mergeCell ref="H129:K129"/>
    <mergeCell ref="H120:K121"/>
  </mergeCells>
  <conditionalFormatting sqref="E166:F166 H166">
    <cfRule type="expression" dxfId="6" priority="18">
      <formula>ISNUMBER($E$166)=FALSE</formula>
    </cfRule>
  </conditionalFormatting>
  <conditionalFormatting sqref="J139">
    <cfRule type="cellIs" dxfId="5" priority="1" operator="lessThan">
      <formula>0</formula>
    </cfRule>
    <cfRule type="cellIs" dxfId="4" priority="2" operator="greaterThan">
      <formula>0</formula>
    </cfRule>
    <cfRule type="cellIs" dxfId="3" priority="5" operator="equal">
      <formula>0</formula>
    </cfRule>
  </conditionalFormatting>
  <conditionalFormatting sqref="J166">
    <cfRule type="cellIs" dxfId="2" priority="6" operator="lessThan">
      <formula>0</formula>
    </cfRule>
    <cfRule type="cellIs" dxfId="1" priority="7" operator="greaterThan">
      <formula>0</formula>
    </cfRule>
    <cfRule type="cellIs" dxfId="0" priority="10" operator="equal">
      <formula>0</formula>
    </cfRule>
  </conditionalFormatting>
  <pageMargins left="0.31496062992125984" right="0.31496062992125984" top="0.35433070866141736" bottom="0.35433070866141736" header="0.31496062992125984" footer="0.31496062992125984"/>
  <pageSetup paperSize="9" scale="7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pageSetUpPr fitToPage="1"/>
  </sheetPr>
  <dimension ref="A3:AF110"/>
  <sheetViews>
    <sheetView zoomScale="90" zoomScaleNormal="90" workbookViewId="0">
      <selection activeCell="B36" sqref="B36"/>
    </sheetView>
  </sheetViews>
  <sheetFormatPr defaultColWidth="9.140625" defaultRowHeight="18" x14ac:dyDescent="0.25"/>
  <cols>
    <col min="1" max="1" width="58.7109375" style="135" customWidth="1"/>
    <col min="2" max="2" width="19.85546875" style="135" bestFit="1" customWidth="1"/>
    <col min="3" max="3" width="2.85546875" style="135" customWidth="1"/>
    <col min="4" max="16384" width="9.140625" style="135"/>
  </cols>
  <sheetData>
    <row r="3" spans="1:16" ht="22.5" x14ac:dyDescent="0.4">
      <c r="A3" s="75" t="str">
        <f>Basisoplysninger!C11 &amp; " LOKALFORENING " &amp; Basisoplysninger!C10</f>
        <v>BALLERUP LOKALFORENING 2025</v>
      </c>
    </row>
    <row r="4" spans="1:16" s="25" customFormat="1" ht="23.25" thickBot="1" x14ac:dyDescent="0.45">
      <c r="A4" s="76" t="s">
        <v>408</v>
      </c>
      <c r="B4" s="37"/>
      <c r="C4" s="37"/>
      <c r="D4" s="75" t="s">
        <v>0</v>
      </c>
    </row>
    <row r="5" spans="1:16" s="25" customFormat="1" ht="72.75" customHeight="1" x14ac:dyDescent="0.3">
      <c r="A5" s="312" t="s">
        <v>577</v>
      </c>
      <c r="B5" s="312"/>
      <c r="C5" s="312"/>
      <c r="D5" s="136"/>
      <c r="E5" s="136"/>
      <c r="F5" s="136"/>
      <c r="G5" s="136"/>
      <c r="H5" s="136"/>
      <c r="I5" s="136"/>
      <c r="J5" s="136"/>
      <c r="K5" s="136"/>
      <c r="L5" s="136"/>
      <c r="M5" s="136"/>
    </row>
    <row r="6" spans="1:16" s="73" customFormat="1" ht="10.5" customHeight="1" x14ac:dyDescent="0.35">
      <c r="A6" s="137"/>
      <c r="B6" s="18"/>
      <c r="C6" s="138"/>
    </row>
    <row r="7" spans="1:16" s="73" customFormat="1" ht="21" customHeight="1" thickBot="1" x14ac:dyDescent="0.45">
      <c r="A7" s="139"/>
      <c r="B7" s="140" t="str">
        <f>"FAKTISK " &amp;Basisoplysninger!C10</f>
        <v>FAKTISK 2025</v>
      </c>
      <c r="C7" s="138"/>
    </row>
    <row r="8" spans="1:16" s="73" customFormat="1" ht="21" customHeight="1" x14ac:dyDescent="0.35">
      <c r="B8" s="19"/>
      <c r="C8" s="138"/>
      <c r="D8" s="96"/>
      <c r="E8" s="141"/>
      <c r="F8" s="141"/>
      <c r="G8" s="142"/>
      <c r="I8" s="143"/>
      <c r="J8" s="143"/>
      <c r="K8" s="143"/>
    </row>
    <row r="9" spans="1:16" s="73" customFormat="1" ht="18" customHeight="1" x14ac:dyDescent="0.35">
      <c r="A9" s="152" t="s">
        <v>579</v>
      </c>
      <c r="B9" s="19"/>
      <c r="C9" s="138"/>
      <c r="D9" s="141" t="s">
        <v>570</v>
      </c>
      <c r="E9" s="141"/>
      <c r="F9" s="141"/>
      <c r="G9" s="142"/>
      <c r="I9" s="143"/>
      <c r="J9" s="143"/>
      <c r="K9" s="143"/>
    </row>
    <row r="10" spans="1:16" s="73" customFormat="1" ht="18" customHeight="1" thickBot="1" x14ac:dyDescent="0.4">
      <c r="A10" s="73" t="s">
        <v>575</v>
      </c>
      <c r="B10" s="22" t="s">
        <v>413</v>
      </c>
      <c r="C10" s="163"/>
      <c r="D10" s="164" t="s">
        <v>414</v>
      </c>
      <c r="I10" s="165"/>
      <c r="J10" s="165"/>
      <c r="K10" s="165"/>
    </row>
    <row r="11" spans="1:16" s="73" customFormat="1" ht="18" customHeight="1" x14ac:dyDescent="0.35">
      <c r="A11" s="73" t="s">
        <v>191</v>
      </c>
      <c r="B11" s="19">
        <f>-'Faktisk &amp; Budget'!E60</f>
        <v>244848.06999999995</v>
      </c>
      <c r="C11" s="138"/>
      <c r="D11" s="313" t="s">
        <v>525</v>
      </c>
      <c r="E11" s="314"/>
      <c r="F11" s="314"/>
      <c r="G11" s="314"/>
      <c r="H11" s="314"/>
      <c r="I11" s="314"/>
      <c r="J11" s="314"/>
      <c r="K11" s="314"/>
      <c r="L11" s="314"/>
      <c r="M11" s="314"/>
      <c r="N11" s="314"/>
      <c r="O11" s="314"/>
      <c r="P11" s="315"/>
    </row>
    <row r="12" spans="1:16" s="73" customFormat="1" ht="18" customHeight="1" x14ac:dyDescent="0.35">
      <c r="A12" s="73" t="s">
        <v>193</v>
      </c>
      <c r="B12" s="20">
        <v>40000</v>
      </c>
      <c r="C12" s="138"/>
      <c r="D12" s="319"/>
      <c r="E12" s="320"/>
      <c r="F12" s="320"/>
      <c r="G12" s="320"/>
      <c r="H12" s="320"/>
      <c r="I12" s="320"/>
      <c r="J12" s="320"/>
      <c r="K12" s="320"/>
      <c r="L12" s="320"/>
      <c r="M12" s="320"/>
      <c r="N12" s="320"/>
      <c r="O12" s="320"/>
      <c r="P12" s="321"/>
    </row>
    <row r="13" spans="1:16" s="73" customFormat="1" ht="18" customHeight="1" x14ac:dyDescent="0.35">
      <c r="A13" s="73" t="s">
        <v>194</v>
      </c>
      <c r="B13" s="144">
        <f>+IF(B11&gt;B12,B11-B12,0)</f>
        <v>204848.06999999995</v>
      </c>
      <c r="C13" s="138"/>
      <c r="D13" s="319"/>
      <c r="E13" s="320"/>
      <c r="F13" s="320"/>
      <c r="G13" s="320"/>
      <c r="H13" s="320"/>
      <c r="I13" s="320"/>
      <c r="J13" s="320"/>
      <c r="K13" s="320"/>
      <c r="L13" s="320"/>
      <c r="M13" s="320"/>
      <c r="N13" s="320"/>
      <c r="O13" s="320"/>
      <c r="P13" s="321"/>
    </row>
    <row r="14" spans="1:16" s="73" customFormat="1" ht="9.75" customHeight="1" x14ac:dyDescent="0.35">
      <c r="B14" s="145"/>
      <c r="C14" s="138"/>
      <c r="D14" s="319"/>
      <c r="E14" s="320"/>
      <c r="F14" s="320"/>
      <c r="G14" s="320"/>
      <c r="H14" s="320"/>
      <c r="I14" s="320"/>
      <c r="J14" s="320"/>
      <c r="K14" s="320"/>
      <c r="L14" s="320"/>
      <c r="M14" s="320"/>
      <c r="N14" s="320"/>
      <c r="O14" s="320"/>
      <c r="P14" s="321"/>
    </row>
    <row r="15" spans="1:16" s="73" customFormat="1" ht="18" customHeight="1" thickBot="1" x14ac:dyDescent="0.4">
      <c r="A15" s="73" t="s">
        <v>526</v>
      </c>
      <c r="B15" s="273">
        <v>0.5</v>
      </c>
      <c r="C15" s="138"/>
      <c r="D15" s="316"/>
      <c r="E15" s="317"/>
      <c r="F15" s="317"/>
      <c r="G15" s="317"/>
      <c r="H15" s="317"/>
      <c r="I15" s="317"/>
      <c r="J15" s="317"/>
      <c r="K15" s="317"/>
      <c r="L15" s="317"/>
      <c r="M15" s="317"/>
      <c r="N15" s="317"/>
      <c r="O15" s="317"/>
      <c r="P15" s="318"/>
    </row>
    <row r="16" spans="1:16" s="73" customFormat="1" ht="18" customHeight="1" thickBot="1" x14ac:dyDescent="0.4">
      <c r="A16" s="27" t="s">
        <v>196</v>
      </c>
      <c r="B16" s="148">
        <f>ROUND(IF(B10="Nej",B13*B15,0),0)</f>
        <v>102424</v>
      </c>
      <c r="C16" s="138"/>
      <c r="D16" s="149" t="s">
        <v>572</v>
      </c>
      <c r="E16" s="150"/>
      <c r="F16" s="150"/>
      <c r="G16" s="150"/>
      <c r="H16" s="150"/>
      <c r="I16" s="150"/>
      <c r="J16" s="150"/>
      <c r="K16" s="150"/>
      <c r="L16" s="150"/>
      <c r="M16" s="150"/>
      <c r="N16" s="150"/>
      <c r="O16" s="150"/>
    </row>
    <row r="17" spans="1:32" s="73" customFormat="1" ht="18" customHeight="1" thickTop="1" x14ac:dyDescent="0.35">
      <c r="A17" s="27"/>
      <c r="B17" s="151"/>
      <c r="C17" s="138"/>
      <c r="D17" s="149"/>
      <c r="E17" s="150"/>
      <c r="F17" s="150"/>
      <c r="G17" s="150"/>
      <c r="H17" s="150"/>
      <c r="I17" s="150"/>
      <c r="J17" s="150"/>
      <c r="K17" s="150"/>
      <c r="L17" s="150"/>
      <c r="M17" s="150"/>
      <c r="N17" s="150"/>
      <c r="O17" s="150"/>
    </row>
    <row r="18" spans="1:32" s="73" customFormat="1" ht="18" customHeight="1" x14ac:dyDescent="0.35">
      <c r="A18" s="152" t="s">
        <v>580</v>
      </c>
      <c r="C18" s="138"/>
      <c r="D18" s="153"/>
      <c r="E18" s="138"/>
      <c r="F18" s="138"/>
      <c r="H18" s="138"/>
      <c r="I18" s="138"/>
      <c r="J18" s="138"/>
      <c r="K18" s="138"/>
      <c r="L18" s="138"/>
      <c r="M18" s="138"/>
      <c r="N18" s="138"/>
      <c r="O18" s="138"/>
      <c r="P18" s="138"/>
      <c r="Q18" s="138"/>
      <c r="R18" s="138"/>
      <c r="S18" s="138"/>
      <c r="T18" s="138"/>
      <c r="U18" s="138"/>
      <c r="V18" s="138"/>
      <c r="W18" s="138"/>
    </row>
    <row r="19" spans="1:32" s="73" customFormat="1" ht="18" customHeight="1" x14ac:dyDescent="0.35">
      <c r="A19" s="73" t="s">
        <v>94</v>
      </c>
      <c r="B19" s="146">
        <f>-'Faktisk &amp; Budget'!E144-'Faktisk &amp; Budget'!E145</f>
        <v>273715.36</v>
      </c>
      <c r="C19" s="138"/>
      <c r="D19" s="153" t="s">
        <v>506</v>
      </c>
      <c r="E19" s="155"/>
      <c r="F19" s="155"/>
      <c r="G19" s="155"/>
      <c r="H19" s="155"/>
      <c r="I19" s="155"/>
      <c r="J19" s="155"/>
      <c r="K19" s="155"/>
      <c r="L19" s="155"/>
      <c r="M19" s="155"/>
      <c r="N19" s="155"/>
      <c r="O19" s="155"/>
      <c r="P19" s="138"/>
      <c r="Q19" s="138"/>
      <c r="R19" s="138"/>
      <c r="S19" s="138"/>
      <c r="T19" s="138"/>
      <c r="U19" s="138"/>
      <c r="V19" s="138"/>
      <c r="W19" s="138"/>
      <c r="X19" s="138"/>
      <c r="Y19" s="138"/>
      <c r="Z19" s="138"/>
      <c r="AA19" s="138"/>
      <c r="AB19" s="138"/>
      <c r="AC19" s="138"/>
      <c r="AD19" s="138"/>
      <c r="AE19" s="138"/>
      <c r="AF19" s="138"/>
    </row>
    <row r="20" spans="1:32" s="73" customFormat="1" ht="18" customHeight="1" x14ac:dyDescent="0.35">
      <c r="A20" s="73" t="s">
        <v>75</v>
      </c>
      <c r="B20" s="146">
        <f>+Resultat!C39</f>
        <v>21909.04999999993</v>
      </c>
      <c r="C20" s="138"/>
      <c r="D20" s="153" t="s">
        <v>409</v>
      </c>
      <c r="E20" s="155"/>
      <c r="F20" s="155"/>
      <c r="G20" s="155"/>
      <c r="H20" s="155"/>
      <c r="I20" s="155"/>
      <c r="J20" s="155"/>
      <c r="K20" s="155"/>
      <c r="L20" s="155"/>
      <c r="M20" s="155"/>
      <c r="N20" s="155"/>
      <c r="O20" s="155"/>
      <c r="P20" s="138"/>
      <c r="Q20" s="138"/>
      <c r="R20" s="138"/>
      <c r="S20" s="138"/>
      <c r="T20" s="138"/>
      <c r="U20" s="138"/>
      <c r="V20" s="138"/>
      <c r="W20" s="138"/>
      <c r="X20" s="138"/>
      <c r="Y20" s="138"/>
      <c r="Z20" s="138"/>
      <c r="AA20" s="138"/>
      <c r="AB20" s="138"/>
      <c r="AC20" s="138"/>
      <c r="AD20" s="138"/>
      <c r="AE20" s="138"/>
      <c r="AF20" s="138"/>
    </row>
    <row r="21" spans="1:32" s="73" customFormat="1" ht="18" customHeight="1" x14ac:dyDescent="0.35">
      <c r="A21" s="73" t="s">
        <v>73</v>
      </c>
      <c r="B21" s="146">
        <f>+Balance!C36</f>
        <v>0</v>
      </c>
      <c r="C21" s="138"/>
      <c r="D21" s="153" t="s">
        <v>505</v>
      </c>
      <c r="E21" s="155"/>
      <c r="F21" s="155"/>
      <c r="G21" s="155"/>
      <c r="H21" s="155"/>
      <c r="I21" s="155"/>
      <c r="J21" s="155"/>
      <c r="K21" s="155"/>
      <c r="L21" s="155"/>
      <c r="M21" s="155"/>
      <c r="N21" s="155"/>
      <c r="O21" s="155"/>
      <c r="P21" s="138"/>
      <c r="Q21" s="138"/>
      <c r="R21" s="138"/>
      <c r="S21" s="138"/>
      <c r="T21" s="138"/>
      <c r="U21" s="138"/>
      <c r="V21" s="138"/>
      <c r="W21" s="138"/>
      <c r="X21" s="138"/>
      <c r="Y21" s="138"/>
      <c r="Z21" s="138"/>
      <c r="AA21" s="138"/>
      <c r="AB21" s="138"/>
      <c r="AC21" s="138"/>
      <c r="AD21" s="138"/>
      <c r="AE21" s="138"/>
      <c r="AF21" s="138"/>
    </row>
    <row r="22" spans="1:32" s="73" customFormat="1" ht="18" customHeight="1" thickBot="1" x14ac:dyDescent="0.4">
      <c r="A22" s="73" t="s">
        <v>74</v>
      </c>
      <c r="B22" s="147">
        <f>+Balance!C37</f>
        <v>0</v>
      </c>
      <c r="C22" s="138"/>
      <c r="D22" s="153" t="s">
        <v>507</v>
      </c>
      <c r="E22" s="156"/>
      <c r="F22" s="156"/>
      <c r="G22" s="156"/>
      <c r="H22" s="156"/>
      <c r="I22" s="156"/>
      <c r="J22" s="156"/>
      <c r="K22" s="156"/>
      <c r="L22" s="156"/>
      <c r="M22" s="156"/>
      <c r="N22" s="156"/>
      <c r="O22" s="156"/>
      <c r="P22" s="156"/>
      <c r="Q22" s="156"/>
      <c r="R22" s="138"/>
      <c r="S22" s="138"/>
      <c r="T22" s="138"/>
      <c r="U22" s="138"/>
      <c r="V22" s="138"/>
      <c r="W22" s="138"/>
      <c r="X22" s="138"/>
      <c r="Y22" s="138"/>
      <c r="Z22" s="138"/>
      <c r="AA22" s="138"/>
      <c r="AB22" s="138"/>
      <c r="AC22" s="138"/>
      <c r="AD22" s="138"/>
      <c r="AE22" s="138"/>
      <c r="AF22" s="138"/>
    </row>
    <row r="23" spans="1:32" s="73" customFormat="1" ht="18" customHeight="1" x14ac:dyDescent="0.35">
      <c r="A23" s="73" t="s">
        <v>198</v>
      </c>
      <c r="B23" s="146">
        <f>SUM(B19:B22)</f>
        <v>295624.40999999992</v>
      </c>
      <c r="C23" s="138"/>
      <c r="D23" s="322" t="s">
        <v>571</v>
      </c>
      <c r="E23" s="323"/>
      <c r="F23" s="323"/>
      <c r="G23" s="323"/>
      <c r="H23" s="323"/>
      <c r="I23" s="323"/>
      <c r="J23" s="323"/>
      <c r="K23" s="323"/>
      <c r="L23" s="323"/>
      <c r="M23" s="323"/>
      <c r="N23" s="323"/>
      <c r="O23" s="324"/>
      <c r="P23" s="279"/>
      <c r="Q23" s="157"/>
      <c r="R23" s="138"/>
      <c r="S23" s="138"/>
      <c r="T23" s="138"/>
      <c r="U23" s="138"/>
      <c r="V23" s="138"/>
      <c r="W23" s="138"/>
    </row>
    <row r="24" spans="1:32" s="73" customFormat="1" ht="18" customHeight="1" x14ac:dyDescent="0.35">
      <c r="A24" s="73" t="s">
        <v>199</v>
      </c>
      <c r="B24" s="146">
        <v>400000</v>
      </c>
      <c r="C24" s="138"/>
      <c r="D24" s="325"/>
      <c r="E24" s="326"/>
      <c r="F24" s="326"/>
      <c r="G24" s="326"/>
      <c r="H24" s="326"/>
      <c r="I24" s="326"/>
      <c r="J24" s="326"/>
      <c r="K24" s="326"/>
      <c r="L24" s="326"/>
      <c r="M24" s="326"/>
      <c r="N24" s="326"/>
      <c r="O24" s="327"/>
      <c r="P24" s="279"/>
      <c r="Q24" s="157"/>
      <c r="R24" s="138"/>
      <c r="S24" s="138"/>
      <c r="T24" s="138"/>
      <c r="U24" s="138"/>
      <c r="V24" s="138"/>
      <c r="W24" s="138"/>
    </row>
    <row r="25" spans="1:32" s="73" customFormat="1" ht="18" customHeight="1" thickBot="1" x14ac:dyDescent="0.4">
      <c r="A25" s="27" t="s">
        <v>504</v>
      </c>
      <c r="B25" s="158">
        <f>ROUND(IF((B23-B24)&gt;0,B23-B24,0),0)</f>
        <v>0</v>
      </c>
      <c r="C25" s="138"/>
      <c r="D25" s="328"/>
      <c r="E25" s="329"/>
      <c r="F25" s="329"/>
      <c r="G25" s="329"/>
      <c r="H25" s="329"/>
      <c r="I25" s="329"/>
      <c r="J25" s="329"/>
      <c r="K25" s="329"/>
      <c r="L25" s="329"/>
      <c r="M25" s="329"/>
      <c r="N25" s="329"/>
      <c r="O25" s="330"/>
      <c r="P25" s="279"/>
      <c r="Q25" s="157"/>
      <c r="R25" s="138"/>
      <c r="S25" s="138"/>
      <c r="T25" s="138"/>
      <c r="U25" s="138"/>
      <c r="V25" s="138"/>
      <c r="W25" s="138"/>
    </row>
    <row r="26" spans="1:32" s="73" customFormat="1" ht="18" customHeight="1" x14ac:dyDescent="0.35">
      <c r="A26" s="27"/>
      <c r="B26" s="151"/>
      <c r="C26" s="138"/>
      <c r="D26" s="279"/>
      <c r="E26" s="279"/>
      <c r="F26" s="279"/>
      <c r="G26" s="279"/>
      <c r="H26" s="279"/>
      <c r="I26" s="279"/>
      <c r="J26" s="279"/>
      <c r="K26" s="279"/>
      <c r="L26" s="279"/>
      <c r="M26" s="279"/>
      <c r="N26" s="279"/>
      <c r="O26" s="279"/>
      <c r="P26" s="279"/>
      <c r="Q26" s="157"/>
    </row>
    <row r="27" spans="1:32" s="73" customFormat="1" ht="18" customHeight="1" x14ac:dyDescent="0.35">
      <c r="A27" s="152" t="s">
        <v>581</v>
      </c>
      <c r="B27" s="154"/>
      <c r="D27" s="280" t="s">
        <v>578</v>
      </c>
      <c r="E27" s="151"/>
      <c r="F27" s="151"/>
      <c r="G27" s="151"/>
      <c r="H27" s="151"/>
      <c r="I27" s="151"/>
      <c r="J27" s="151"/>
      <c r="K27" s="151"/>
      <c r="L27" s="151"/>
      <c r="M27" s="151"/>
      <c r="N27" s="151"/>
      <c r="O27" s="151"/>
      <c r="P27" s="151"/>
      <c r="Q27" s="151"/>
    </row>
    <row r="28" spans="1:32" s="73" customFormat="1" ht="18" customHeight="1" x14ac:dyDescent="0.35">
      <c r="A28" s="137" t="s">
        <v>201</v>
      </c>
      <c r="B28" s="160">
        <f>-'Faktisk &amp; Budget'!E159+B29</f>
        <v>88707</v>
      </c>
      <c r="C28" s="138"/>
      <c r="D28" s="153"/>
      <c r="I28" s="159"/>
      <c r="J28" s="159"/>
      <c r="K28" s="159"/>
    </row>
    <row r="29" spans="1:32" s="73" customFormat="1" ht="18" customHeight="1" thickBot="1" x14ac:dyDescent="0.4">
      <c r="A29" s="137" t="s">
        <v>206</v>
      </c>
      <c r="B29" s="21">
        <v>7067</v>
      </c>
      <c r="C29" s="138"/>
      <c r="D29" s="153" t="s">
        <v>410</v>
      </c>
      <c r="I29" s="159"/>
      <c r="J29" s="159"/>
      <c r="K29" s="159"/>
    </row>
    <row r="30" spans="1:32" s="73" customFormat="1" ht="18" customHeight="1" x14ac:dyDescent="0.35">
      <c r="A30" s="73" t="s">
        <v>203</v>
      </c>
      <c r="B30" s="19">
        <f>B38</f>
        <v>17417.806999999997</v>
      </c>
      <c r="C30" s="138"/>
      <c r="D30" s="313" t="s">
        <v>411</v>
      </c>
      <c r="E30" s="314"/>
      <c r="F30" s="314"/>
      <c r="G30" s="314"/>
      <c r="H30" s="314"/>
      <c r="I30" s="314"/>
      <c r="J30" s="314"/>
      <c r="K30" s="314"/>
      <c r="L30" s="314"/>
      <c r="M30" s="314"/>
      <c r="N30" s="314"/>
      <c r="O30" s="314"/>
      <c r="P30" s="315"/>
    </row>
    <row r="31" spans="1:32" s="73" customFormat="1" ht="18" customHeight="1" thickBot="1" x14ac:dyDescent="0.4">
      <c r="A31" s="27" t="s">
        <v>204</v>
      </c>
      <c r="B31" s="161">
        <f>+B28-B29-B30</f>
        <v>64222.192999999999</v>
      </c>
      <c r="C31" s="138"/>
      <c r="D31" s="316"/>
      <c r="E31" s="317"/>
      <c r="F31" s="317"/>
      <c r="G31" s="317"/>
      <c r="H31" s="317"/>
      <c r="I31" s="317"/>
      <c r="J31" s="317"/>
      <c r="K31" s="317"/>
      <c r="L31" s="317"/>
      <c r="M31" s="317"/>
      <c r="N31" s="317"/>
      <c r="O31" s="317"/>
      <c r="P31" s="318"/>
    </row>
    <row r="32" spans="1:32" s="73" customFormat="1" ht="18" customHeight="1" thickTop="1" x14ac:dyDescent="0.35">
      <c r="A32" s="27"/>
      <c r="B32" s="151"/>
      <c r="C32" s="138"/>
      <c r="D32" s="153"/>
      <c r="I32" s="159"/>
      <c r="J32" s="159"/>
      <c r="K32" s="159"/>
    </row>
    <row r="33" spans="1:17" s="73" customFormat="1" ht="18" customHeight="1" x14ac:dyDescent="0.35">
      <c r="A33" s="152" t="s">
        <v>582</v>
      </c>
      <c r="B33" s="154"/>
      <c r="C33" s="138"/>
      <c r="D33" s="280" t="s">
        <v>578</v>
      </c>
      <c r="I33" s="159"/>
      <c r="J33" s="159"/>
      <c r="K33" s="159"/>
    </row>
    <row r="34" spans="1:17" s="73" customFormat="1" ht="18" customHeight="1" x14ac:dyDescent="0.35">
      <c r="A34" s="162" t="s">
        <v>412</v>
      </c>
      <c r="B34" s="19"/>
      <c r="C34" s="138"/>
      <c r="D34" s="280"/>
      <c r="I34" s="159"/>
      <c r="J34" s="159"/>
      <c r="K34" s="159"/>
    </row>
    <row r="35" spans="1:17" s="73" customFormat="1" ht="18" customHeight="1" x14ac:dyDescent="0.35">
      <c r="A35" s="73" t="s">
        <v>205</v>
      </c>
      <c r="B35" s="146">
        <f>IF(B10="Nej",(IF('Faktisk &amp; Budget'!E159&lt;0,B11*10%,0)),0)</f>
        <v>24484.806999999997</v>
      </c>
      <c r="C35" s="138"/>
      <c r="D35" s="153" t="s">
        <v>415</v>
      </c>
      <c r="I35" s="159"/>
      <c r="J35" s="159"/>
      <c r="K35" s="159"/>
    </row>
    <row r="36" spans="1:17" s="73" customFormat="1" ht="18" customHeight="1" x14ac:dyDescent="0.35">
      <c r="A36" s="73" t="s">
        <v>464</v>
      </c>
      <c r="B36" s="146">
        <f>IF(B29&gt;B35,B35,B29)</f>
        <v>7067</v>
      </c>
      <c r="C36" s="138"/>
      <c r="D36" s="153" t="s">
        <v>465</v>
      </c>
      <c r="I36" s="159"/>
      <c r="J36" s="159"/>
      <c r="K36" s="159"/>
    </row>
    <row r="37" spans="1:17" s="73" customFormat="1" ht="18" customHeight="1" thickBot="1" x14ac:dyDescent="0.4">
      <c r="A37" s="73" t="s">
        <v>207</v>
      </c>
      <c r="B37" s="147">
        <f>IF((B35-B36)&gt;(B28-B29),(B35-B36)-(B28-B29),0)</f>
        <v>0</v>
      </c>
      <c r="C37" s="138"/>
      <c r="D37" s="153" t="s">
        <v>416</v>
      </c>
      <c r="I37" s="159"/>
      <c r="J37" s="159"/>
      <c r="K37" s="159"/>
    </row>
    <row r="38" spans="1:17" s="73" customFormat="1" ht="18" customHeight="1" thickBot="1" x14ac:dyDescent="0.4">
      <c r="A38" s="27" t="s">
        <v>208</v>
      </c>
      <c r="B38" s="161">
        <f>+B35-B36-B37</f>
        <v>17417.806999999997</v>
      </c>
      <c r="C38" s="138"/>
      <c r="D38" s="313" t="s">
        <v>417</v>
      </c>
      <c r="E38" s="314"/>
      <c r="F38" s="314"/>
      <c r="G38" s="314"/>
      <c r="H38" s="314"/>
      <c r="I38" s="314"/>
      <c r="J38" s="314"/>
      <c r="K38" s="314"/>
      <c r="L38" s="314"/>
      <c r="M38" s="314"/>
      <c r="N38" s="314"/>
      <c r="O38" s="314"/>
      <c r="P38" s="315"/>
      <c r="Q38" s="155"/>
    </row>
    <row r="39" spans="1:17" s="73" customFormat="1" ht="18" customHeight="1" thickTop="1" x14ac:dyDescent="0.35">
      <c r="A39" s="27"/>
      <c r="B39" s="151"/>
      <c r="C39" s="138"/>
      <c r="D39" s="319"/>
      <c r="E39" s="320"/>
      <c r="F39" s="320"/>
      <c r="G39" s="320"/>
      <c r="H39" s="320"/>
      <c r="I39" s="320"/>
      <c r="J39" s="320"/>
      <c r="K39" s="320"/>
      <c r="L39" s="320"/>
      <c r="M39" s="320"/>
      <c r="N39" s="320"/>
      <c r="O39" s="320"/>
      <c r="P39" s="321"/>
      <c r="Q39" s="155"/>
    </row>
    <row r="40" spans="1:17" s="73" customFormat="1" ht="18" customHeight="1" x14ac:dyDescent="0.35">
      <c r="A40" s="27"/>
      <c r="B40" s="151"/>
      <c r="C40" s="138"/>
      <c r="D40" s="319"/>
      <c r="E40" s="320"/>
      <c r="F40" s="320"/>
      <c r="G40" s="320"/>
      <c r="H40" s="320"/>
      <c r="I40" s="320"/>
      <c r="J40" s="320"/>
      <c r="K40" s="320"/>
      <c r="L40" s="320"/>
      <c r="M40" s="320"/>
      <c r="N40" s="320"/>
      <c r="O40" s="320"/>
      <c r="P40" s="321"/>
      <c r="Q40" s="155"/>
    </row>
    <row r="41" spans="1:17" s="138" customFormat="1" ht="18" customHeight="1" thickBot="1" x14ac:dyDescent="0.25">
      <c r="D41" s="316"/>
      <c r="E41" s="317"/>
      <c r="F41" s="317"/>
      <c r="G41" s="317"/>
      <c r="H41" s="317"/>
      <c r="I41" s="317"/>
      <c r="J41" s="317"/>
      <c r="K41" s="317"/>
      <c r="L41" s="317"/>
      <c r="M41" s="317"/>
      <c r="N41" s="317"/>
      <c r="O41" s="317"/>
      <c r="P41" s="318"/>
      <c r="Q41" s="155"/>
    </row>
    <row r="42" spans="1:17" s="138" customFormat="1" ht="18" customHeight="1" x14ac:dyDescent="0.2">
      <c r="D42" s="166"/>
      <c r="E42" s="166"/>
      <c r="F42" s="166"/>
      <c r="G42" s="166"/>
      <c r="H42" s="166"/>
      <c r="I42" s="166"/>
      <c r="J42" s="166"/>
      <c r="K42" s="166"/>
      <c r="L42" s="166"/>
      <c r="M42" s="166"/>
      <c r="N42" s="166"/>
      <c r="O42" s="166"/>
      <c r="P42" s="166"/>
      <c r="Q42" s="166"/>
    </row>
    <row r="43" spans="1:17" s="138" customFormat="1" ht="18" customHeight="1" x14ac:dyDescent="0.2">
      <c r="D43" s="166"/>
      <c r="E43" s="166"/>
      <c r="F43" s="166"/>
      <c r="G43" s="166"/>
      <c r="H43" s="166"/>
      <c r="I43" s="166"/>
      <c r="J43" s="166"/>
      <c r="K43" s="166"/>
      <c r="L43" s="166"/>
      <c r="M43" s="166"/>
      <c r="N43" s="166"/>
      <c r="O43" s="166"/>
      <c r="P43" s="166"/>
      <c r="Q43" s="166"/>
    </row>
    <row r="44" spans="1:17" s="138" customFormat="1" ht="18" customHeight="1" x14ac:dyDescent="0.2">
      <c r="D44" s="166"/>
      <c r="E44" s="166"/>
      <c r="F44" s="166"/>
      <c r="G44" s="166"/>
      <c r="H44" s="166"/>
      <c r="I44" s="166"/>
      <c r="J44" s="166"/>
      <c r="K44" s="166"/>
      <c r="L44" s="166"/>
      <c r="M44" s="166"/>
      <c r="N44" s="166"/>
      <c r="O44" s="166"/>
      <c r="P44" s="166"/>
      <c r="Q44" s="166"/>
    </row>
    <row r="45" spans="1:17" s="138" customFormat="1" ht="18" customHeight="1" x14ac:dyDescent="0.2"/>
    <row r="46" spans="1:17" s="138" customFormat="1" ht="18" customHeight="1" x14ac:dyDescent="0.2"/>
    <row r="47" spans="1:17" s="138" customFormat="1" ht="18" customHeight="1" x14ac:dyDescent="0.2"/>
    <row r="48" spans="1:17" s="138" customFormat="1" ht="18" customHeight="1" x14ac:dyDescent="0.2"/>
    <row r="49" s="138" customFormat="1" ht="18" customHeight="1" x14ac:dyDescent="0.2"/>
    <row r="50" s="138" customFormat="1" ht="18" customHeight="1" x14ac:dyDescent="0.2"/>
    <row r="51" s="138" customFormat="1" ht="18" customHeight="1" x14ac:dyDescent="0.2"/>
    <row r="52" s="138" customFormat="1" ht="18" customHeight="1" x14ac:dyDescent="0.2"/>
    <row r="53" s="138" customFormat="1" ht="18" customHeight="1" x14ac:dyDescent="0.2"/>
    <row r="54" s="138" customFormat="1" ht="18" customHeight="1" x14ac:dyDescent="0.2"/>
    <row r="55" s="138" customFormat="1" ht="18" customHeight="1" x14ac:dyDescent="0.2"/>
    <row r="56" s="138" customFormat="1" ht="18" customHeight="1" x14ac:dyDescent="0.2"/>
    <row r="57" s="138" customFormat="1" ht="18" customHeight="1" x14ac:dyDescent="0.2"/>
    <row r="58" s="138" customFormat="1" ht="18" customHeight="1" x14ac:dyDescent="0.2"/>
    <row r="59" s="138" customFormat="1" ht="18" customHeight="1" x14ac:dyDescent="0.2"/>
    <row r="60" s="138" customFormat="1" ht="18" customHeight="1" x14ac:dyDescent="0.2"/>
    <row r="61" s="138" customFormat="1" ht="18" customHeight="1" x14ac:dyDescent="0.2"/>
    <row r="62" s="138" customFormat="1" ht="18" customHeight="1" x14ac:dyDescent="0.2"/>
    <row r="63" s="138" customFormat="1" ht="18" customHeight="1" x14ac:dyDescent="0.2"/>
    <row r="64" s="138" customFormat="1" ht="18" customHeight="1" x14ac:dyDescent="0.2"/>
    <row r="65" s="138" customFormat="1" ht="18" customHeight="1" x14ac:dyDescent="0.2"/>
    <row r="66" s="138" customFormat="1" ht="18" customHeight="1" x14ac:dyDescent="0.2"/>
    <row r="67" s="138" customFormat="1" ht="18" customHeight="1" x14ac:dyDescent="0.2"/>
    <row r="68" s="138" customFormat="1" ht="18" customHeight="1" x14ac:dyDescent="0.2"/>
    <row r="69" s="138" customFormat="1" ht="18" customHeight="1" x14ac:dyDescent="0.2"/>
    <row r="70" s="138" customFormat="1" ht="18" customHeight="1" x14ac:dyDescent="0.2"/>
    <row r="71" s="138" customFormat="1" ht="18" customHeight="1" x14ac:dyDescent="0.2"/>
    <row r="72" s="138" customFormat="1" ht="18" customHeight="1" x14ac:dyDescent="0.2"/>
    <row r="73" s="138" customFormat="1" ht="18" customHeight="1" x14ac:dyDescent="0.2"/>
    <row r="74" s="138" customFormat="1" ht="18" customHeight="1" x14ac:dyDescent="0.2"/>
    <row r="75" s="138" customFormat="1" ht="18" customHeight="1" x14ac:dyDescent="0.2"/>
    <row r="76" s="138" customFormat="1" ht="18" customHeight="1" x14ac:dyDescent="0.2"/>
    <row r="77" s="138" customFormat="1" ht="18" customHeight="1" x14ac:dyDescent="0.2"/>
    <row r="78" s="138" customFormat="1" ht="18" customHeight="1" x14ac:dyDescent="0.2"/>
    <row r="79" s="138" customFormat="1" ht="18" customHeight="1" x14ac:dyDescent="0.2"/>
    <row r="80" s="138" customFormat="1" ht="18" customHeight="1" x14ac:dyDescent="0.2"/>
    <row r="81" s="138" customFormat="1" ht="18" customHeight="1" x14ac:dyDescent="0.2"/>
    <row r="82" s="138" customFormat="1" ht="15" x14ac:dyDescent="0.2"/>
    <row r="83" s="138" customFormat="1" ht="15" x14ac:dyDescent="0.2"/>
    <row r="84" s="138" customFormat="1" ht="15" x14ac:dyDescent="0.2"/>
    <row r="85" s="138" customFormat="1" ht="15" x14ac:dyDescent="0.2"/>
    <row r="86" s="138" customFormat="1" ht="15" x14ac:dyDescent="0.2"/>
    <row r="87" s="138" customFormat="1" ht="15" x14ac:dyDescent="0.2"/>
    <row r="88" s="138" customFormat="1" ht="15" x14ac:dyDescent="0.2"/>
    <row r="89" s="138" customFormat="1" ht="15" x14ac:dyDescent="0.2"/>
    <row r="90" s="138" customFormat="1" ht="15" x14ac:dyDescent="0.2"/>
    <row r="91" s="138" customFormat="1" ht="15" x14ac:dyDescent="0.2"/>
    <row r="92" s="138" customFormat="1" ht="15" x14ac:dyDescent="0.2"/>
    <row r="93" s="138" customFormat="1" ht="15" x14ac:dyDescent="0.2"/>
    <row r="94" s="138" customFormat="1" ht="15" x14ac:dyDescent="0.2"/>
    <row r="95" s="138" customFormat="1" ht="15" x14ac:dyDescent="0.2"/>
    <row r="96" s="138" customFormat="1" ht="15" x14ac:dyDescent="0.2"/>
    <row r="97" s="138" customFormat="1" ht="15" x14ac:dyDescent="0.2"/>
    <row r="98" s="138" customFormat="1" ht="15" x14ac:dyDescent="0.2"/>
    <row r="99" s="138" customFormat="1" ht="15" x14ac:dyDescent="0.2"/>
    <row r="100" s="138" customFormat="1" ht="15" x14ac:dyDescent="0.2"/>
    <row r="101" s="138" customFormat="1" ht="15" x14ac:dyDescent="0.2"/>
    <row r="102" s="138" customFormat="1" ht="15" x14ac:dyDescent="0.2"/>
    <row r="103" s="138" customFormat="1" ht="15" x14ac:dyDescent="0.2"/>
    <row r="104" s="138" customFormat="1" ht="15" x14ac:dyDescent="0.2"/>
    <row r="105" s="138" customFormat="1" ht="15" x14ac:dyDescent="0.2"/>
    <row r="106" s="138" customFormat="1" ht="15" x14ac:dyDescent="0.2"/>
    <row r="107" s="138" customFormat="1" ht="15" x14ac:dyDescent="0.2"/>
    <row r="108" s="138" customFormat="1" ht="15" x14ac:dyDescent="0.2"/>
    <row r="109" s="138" customFormat="1" ht="15" x14ac:dyDescent="0.2"/>
    <row r="110" s="138" customFormat="1" ht="15" x14ac:dyDescent="0.2"/>
  </sheetData>
  <sheetProtection algorithmName="SHA-512" hashValue="k/a+mI8XVpNSNDP+jR0NHDi0O5a6l8Y0wK9NYRmMnckUy3RE6z4QWaPlMkMIg7A1rieJWpIpnDuxRIWddvDsWQ==" saltValue="yi0cxAN9i7Pswuc01jnUJw==" spinCount="100000" sheet="1" objects="1" scenarios="1"/>
  <mergeCells count="5">
    <mergeCell ref="A5:C5"/>
    <mergeCell ref="D30:P31"/>
    <mergeCell ref="D11:P15"/>
    <mergeCell ref="D38:P41"/>
    <mergeCell ref="D23:O25"/>
  </mergeCells>
  <dataValidations count="1">
    <dataValidation type="list" allowBlank="1" showInputMessage="1" showErrorMessage="1" sqref="B10" xr:uid="{00000000-0002-0000-0B00-000000000000}">
      <formula1>"JA,NEJ"</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3:F22"/>
  <sheetViews>
    <sheetView zoomScale="90" zoomScaleNormal="90" workbookViewId="0">
      <selection activeCell="C9" sqref="C9"/>
    </sheetView>
  </sheetViews>
  <sheetFormatPr defaultColWidth="47.85546875" defaultRowHeight="15" x14ac:dyDescent="0.3"/>
  <cols>
    <col min="1" max="1" width="39.85546875" style="167" customWidth="1"/>
    <col min="2" max="2" width="32.42578125" style="167" customWidth="1"/>
    <col min="3" max="3" width="14.7109375" style="167" customWidth="1"/>
    <col min="4" max="4" width="5" style="167" customWidth="1"/>
    <col min="5" max="5" width="47.85546875" style="167"/>
    <col min="6" max="6" width="20.28515625" style="167" customWidth="1"/>
    <col min="7" max="16384" width="47.85546875" style="167"/>
  </cols>
  <sheetData>
    <row r="3" spans="1:6" ht="22.5" x14ac:dyDescent="0.4">
      <c r="A3" s="75" t="str">
        <f>Basisoplysninger!C11 &amp; " LOKALFORENING " &amp; Basisoplysninger!C10</f>
        <v>BALLERUP LOKALFORENING 2025</v>
      </c>
    </row>
    <row r="4" spans="1:6" ht="23.25" thickBot="1" x14ac:dyDescent="0.45">
      <c r="A4" s="76" t="s">
        <v>418</v>
      </c>
      <c r="B4" s="37"/>
      <c r="C4" s="37"/>
      <c r="E4" s="75" t="s">
        <v>0</v>
      </c>
    </row>
    <row r="5" spans="1:6" x14ac:dyDescent="0.3">
      <c r="E5" s="335" t="s">
        <v>494</v>
      </c>
      <c r="F5" s="335"/>
    </row>
    <row r="6" spans="1:6" x14ac:dyDescent="0.3">
      <c r="E6" s="335"/>
      <c r="F6" s="335"/>
    </row>
    <row r="7" spans="1:6" ht="21" x14ac:dyDescent="0.4">
      <c r="A7" s="332" t="str">
        <f>"EFTERPOSTERINGER PR. 31/12 " &amp; Basisoplysninger!C10</f>
        <v>EFTERPOSTERINGER PR. 31/12 2025</v>
      </c>
      <c r="B7" s="333"/>
      <c r="C7" s="334"/>
      <c r="E7" s="172" t="s">
        <v>419</v>
      </c>
    </row>
    <row r="8" spans="1:6" ht="18" x14ac:dyDescent="0.35">
      <c r="A8" s="168" t="s">
        <v>420</v>
      </c>
      <c r="B8" s="168" t="s">
        <v>421</v>
      </c>
      <c r="C8" s="168" t="s">
        <v>422</v>
      </c>
      <c r="E8" s="172" t="s">
        <v>423</v>
      </c>
    </row>
    <row r="9" spans="1:6" ht="32.25" customHeight="1" x14ac:dyDescent="0.3">
      <c r="A9" s="169" t="s">
        <v>424</v>
      </c>
      <c r="B9" s="170" t="s">
        <v>195</v>
      </c>
      <c r="C9" s="171">
        <f>-C10</f>
        <v>-102424</v>
      </c>
      <c r="E9" s="331" t="s">
        <v>425</v>
      </c>
      <c r="F9" s="331"/>
    </row>
    <row r="10" spans="1:6" ht="32.25" customHeight="1" x14ac:dyDescent="0.3">
      <c r="A10" s="169" t="s">
        <v>426</v>
      </c>
      <c r="B10" s="170" t="s">
        <v>195</v>
      </c>
      <c r="C10" s="171">
        <f>+Resultat!C34</f>
        <v>102424</v>
      </c>
      <c r="E10" s="331"/>
      <c r="F10" s="331"/>
    </row>
    <row r="11" spans="1:6" ht="32.25" customHeight="1" x14ac:dyDescent="0.3">
      <c r="A11" s="169" t="s">
        <v>428</v>
      </c>
      <c r="B11" s="173" t="s">
        <v>429</v>
      </c>
      <c r="C11" s="171">
        <f>-Resultat!C35</f>
        <v>0</v>
      </c>
      <c r="E11" s="331" t="s">
        <v>427</v>
      </c>
      <c r="F11" s="331"/>
    </row>
    <row r="12" spans="1:6" ht="32.25" customHeight="1" x14ac:dyDescent="0.3">
      <c r="A12" s="169" t="s">
        <v>430</v>
      </c>
      <c r="B12" s="173" t="s">
        <v>431</v>
      </c>
      <c r="C12" s="171">
        <f>-C11</f>
        <v>0</v>
      </c>
      <c r="E12" s="331"/>
      <c r="F12" s="331"/>
    </row>
    <row r="13" spans="1:6" ht="32.25" customHeight="1" x14ac:dyDescent="0.3">
      <c r="A13" s="169" t="s">
        <v>432</v>
      </c>
      <c r="B13" s="173" t="s">
        <v>393</v>
      </c>
      <c r="C13" s="171">
        <f>-Resultat!C37</f>
        <v>0</v>
      </c>
      <c r="E13" s="331" t="s">
        <v>427</v>
      </c>
      <c r="F13" s="331"/>
    </row>
    <row r="14" spans="1:6" ht="32.25" customHeight="1" x14ac:dyDescent="0.3">
      <c r="A14" s="169" t="s">
        <v>426</v>
      </c>
      <c r="B14" s="173" t="s">
        <v>393</v>
      </c>
      <c r="C14" s="171">
        <f>-C13</f>
        <v>0</v>
      </c>
      <c r="E14" s="331"/>
      <c r="F14" s="331"/>
    </row>
    <row r="15" spans="1:6" ht="32.25" customHeight="1" x14ac:dyDescent="0.3">
      <c r="A15" s="169" t="s">
        <v>433</v>
      </c>
      <c r="B15" s="174" t="s">
        <v>96</v>
      </c>
      <c r="C15" s="171">
        <f>-Hjælpeberegner!B25</f>
        <v>0</v>
      </c>
      <c r="E15" s="336" t="s">
        <v>434</v>
      </c>
      <c r="F15" s="336"/>
    </row>
    <row r="16" spans="1:6" ht="32.25" customHeight="1" x14ac:dyDescent="0.3">
      <c r="A16" s="175" t="s">
        <v>435</v>
      </c>
      <c r="B16" s="174" t="s">
        <v>96</v>
      </c>
      <c r="C16" s="171">
        <f>-C15</f>
        <v>0</v>
      </c>
      <c r="E16" s="336"/>
      <c r="F16" s="336"/>
    </row>
    <row r="17" spans="1:6" x14ac:dyDescent="0.3">
      <c r="E17" s="335" t="s">
        <v>436</v>
      </c>
      <c r="F17" s="335"/>
    </row>
    <row r="18" spans="1:6" x14ac:dyDescent="0.3">
      <c r="E18" s="335"/>
      <c r="F18" s="335"/>
    </row>
    <row r="19" spans="1:6" ht="21" x14ac:dyDescent="0.4">
      <c r="A19" s="332" t="str">
        <f>"EFTERPOSTERINGER PR. 1/1 " &amp; (Basisoplysninger!C10+1)</f>
        <v>EFTERPOSTERINGER PR. 1/1 2026</v>
      </c>
      <c r="B19" s="333"/>
      <c r="C19" s="334"/>
      <c r="E19" s="335"/>
      <c r="F19" s="335"/>
    </row>
    <row r="20" spans="1:6" ht="18" x14ac:dyDescent="0.35">
      <c r="A20" s="168" t="s">
        <v>420</v>
      </c>
      <c r="B20" s="168" t="s">
        <v>421</v>
      </c>
      <c r="C20" s="168" t="s">
        <v>422</v>
      </c>
    </row>
    <row r="21" spans="1:6" ht="30" x14ac:dyDescent="0.3">
      <c r="A21" s="175" t="s">
        <v>435</v>
      </c>
      <c r="B21" s="174" t="s">
        <v>437</v>
      </c>
      <c r="C21" s="171">
        <f>-C16</f>
        <v>0</v>
      </c>
      <c r="E21" s="331" t="s">
        <v>438</v>
      </c>
      <c r="F21" s="331"/>
    </row>
    <row r="22" spans="1:6" ht="32.25" customHeight="1" x14ac:dyDescent="0.3">
      <c r="A22" s="175" t="s">
        <v>426</v>
      </c>
      <c r="B22" s="174" t="s">
        <v>437</v>
      </c>
      <c r="C22" s="171">
        <f>-C21</f>
        <v>0</v>
      </c>
      <c r="E22" s="331"/>
      <c r="F22" s="331"/>
    </row>
  </sheetData>
  <sheetProtection algorithmName="SHA-512" hashValue="W0GVpzufGBQixTorZfnymph4tuhTlES9HX6jq59i//SHbrWF9mYKRe2dbDiLT5KElTfKfzEYcr40/DDkribbng==" saltValue="dEgdEKfXW2+8y9tqw7yZJg==" spinCount="100000" sheet="1" objects="1" scenarios="1"/>
  <mergeCells count="9">
    <mergeCell ref="E21:F22"/>
    <mergeCell ref="A7:C7"/>
    <mergeCell ref="A19:C19"/>
    <mergeCell ref="E5:F6"/>
    <mergeCell ref="E9:F10"/>
    <mergeCell ref="E11:F12"/>
    <mergeCell ref="E13:F14"/>
    <mergeCell ref="E15:F16"/>
    <mergeCell ref="E17:F19"/>
  </mergeCells>
  <pageMargins left="0.7" right="0.7" top="0.75" bottom="0.75" header="0.3" footer="0.3"/>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
  <sheetViews>
    <sheetView zoomScaleNormal="100" workbookViewId="0">
      <selection activeCell="D10" sqref="D10"/>
    </sheetView>
  </sheetViews>
  <sheetFormatPr defaultColWidth="9.140625" defaultRowHeight="15" x14ac:dyDescent="0.3"/>
  <cols>
    <col min="1" max="3" width="13.140625" style="176" customWidth="1"/>
    <col min="4" max="9" width="13.140625" style="3" customWidth="1"/>
    <col min="10" max="16384" width="9.140625" style="3"/>
  </cols>
  <sheetData>
    <row r="1" spans="1:15" s="176" customFormat="1" x14ac:dyDescent="0.3">
      <c r="A1" s="167"/>
      <c r="B1" s="167"/>
      <c r="C1" s="167"/>
      <c r="D1" s="167"/>
      <c r="E1" s="167"/>
      <c r="F1" s="167"/>
      <c r="G1" s="167"/>
    </row>
    <row r="2" spans="1:15" s="176" customFormat="1" x14ac:dyDescent="0.3">
      <c r="A2" s="167"/>
      <c r="B2" s="167"/>
      <c r="C2" s="167"/>
      <c r="D2" s="167"/>
      <c r="E2" s="167"/>
      <c r="F2" s="167"/>
      <c r="G2" s="167"/>
    </row>
    <row r="3" spans="1:15" s="176" customFormat="1" ht="22.5" x14ac:dyDescent="0.4">
      <c r="A3" s="75" t="str">
        <f>Basisoplysninger!C11 &amp; " LOKALFORENING " &amp; Basisoplysninger!C10</f>
        <v>BALLERUP LOKALFORENING 2025</v>
      </c>
      <c r="B3" s="167"/>
      <c r="C3" s="167"/>
      <c r="D3" s="167"/>
      <c r="E3" s="167"/>
      <c r="F3" s="167"/>
      <c r="G3" s="167"/>
    </row>
    <row r="4" spans="1:15" s="176" customFormat="1" ht="23.25" thickBot="1" x14ac:dyDescent="0.45">
      <c r="A4" s="76" t="s">
        <v>439</v>
      </c>
      <c r="B4" s="37"/>
      <c r="C4" s="37"/>
      <c r="D4" s="37"/>
      <c r="E4" s="37"/>
      <c r="F4" s="37"/>
      <c r="G4" s="37"/>
      <c r="H4" s="75" t="s">
        <v>0</v>
      </c>
      <c r="I4" s="167"/>
      <c r="J4" s="167"/>
      <c r="K4" s="167"/>
      <c r="L4" s="167"/>
      <c r="M4" s="167"/>
      <c r="N4" s="167"/>
      <c r="O4" s="167"/>
    </row>
    <row r="5" spans="1:15" x14ac:dyDescent="0.3">
      <c r="H5"/>
      <c r="I5"/>
      <c r="J5"/>
      <c r="K5"/>
      <c r="L5"/>
      <c r="M5"/>
      <c r="N5"/>
      <c r="O5"/>
    </row>
    <row r="6" spans="1:15" x14ac:dyDescent="0.3">
      <c r="H6" s="2" t="s">
        <v>440</v>
      </c>
      <c r="I6"/>
      <c r="J6"/>
      <c r="K6"/>
      <c r="L6"/>
      <c r="M6"/>
      <c r="N6"/>
      <c r="O6"/>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rgb="FFFF0000"/>
  </sheetPr>
  <dimension ref="A13:A35"/>
  <sheetViews>
    <sheetView workbookViewId="0">
      <selection activeCell="P39" sqref="P39"/>
    </sheetView>
  </sheetViews>
  <sheetFormatPr defaultColWidth="8.85546875" defaultRowHeight="12.75" x14ac:dyDescent="0.2"/>
  <cols>
    <col min="1" max="1" width="14.7109375" customWidth="1"/>
    <col min="6" max="6" width="10" customWidth="1"/>
    <col min="7" max="7" width="12.28515625" customWidth="1"/>
  </cols>
  <sheetData>
    <row r="13" spans="1:1" x14ac:dyDescent="0.2">
      <c r="A13" s="2" t="s">
        <v>441</v>
      </c>
    </row>
    <row r="14" spans="1:1" x14ac:dyDescent="0.2">
      <c r="A14" s="2" t="s">
        <v>442</v>
      </c>
    </row>
    <row r="16" spans="1:1" x14ac:dyDescent="0.2">
      <c r="A16" s="1" t="s">
        <v>443</v>
      </c>
    </row>
    <row r="17" spans="1:1" x14ac:dyDescent="0.2">
      <c r="A17" s="2" t="s">
        <v>444</v>
      </c>
    </row>
    <row r="18" spans="1:1" x14ac:dyDescent="0.2">
      <c r="A18" s="2" t="s">
        <v>445</v>
      </c>
    </row>
    <row r="19" spans="1:1" x14ac:dyDescent="0.2">
      <c r="A19" s="2" t="s">
        <v>446</v>
      </c>
    </row>
    <row r="20" spans="1:1" x14ac:dyDescent="0.2">
      <c r="A20" s="2" t="s">
        <v>447</v>
      </c>
    </row>
    <row r="21" spans="1:1" x14ac:dyDescent="0.2">
      <c r="A21" s="2" t="s">
        <v>448</v>
      </c>
    </row>
    <row r="22" spans="1:1" x14ac:dyDescent="0.2">
      <c r="A22" s="2" t="s">
        <v>449</v>
      </c>
    </row>
    <row r="23" spans="1:1" x14ac:dyDescent="0.2">
      <c r="A23" s="2" t="s">
        <v>450</v>
      </c>
    </row>
    <row r="25" spans="1:1" x14ac:dyDescent="0.2">
      <c r="A25" s="1" t="s">
        <v>451</v>
      </c>
    </row>
    <row r="26" spans="1:1" x14ac:dyDescent="0.2">
      <c r="A26" s="2" t="s">
        <v>452</v>
      </c>
    </row>
    <row r="27" spans="1:1" x14ac:dyDescent="0.2">
      <c r="A27" s="2" t="s">
        <v>453</v>
      </c>
    </row>
    <row r="28" spans="1:1" x14ac:dyDescent="0.2">
      <c r="A28" s="2" t="s">
        <v>454</v>
      </c>
    </row>
    <row r="29" spans="1:1" x14ac:dyDescent="0.2">
      <c r="A29" s="2" t="s">
        <v>455</v>
      </c>
    </row>
    <row r="31" spans="1:1" x14ac:dyDescent="0.2">
      <c r="A31" s="1" t="s">
        <v>456</v>
      </c>
    </row>
    <row r="32" spans="1:1" x14ac:dyDescent="0.2">
      <c r="A32" s="2" t="s">
        <v>452</v>
      </c>
    </row>
    <row r="33" spans="1:1" x14ac:dyDescent="0.2">
      <c r="A33" s="2" t="s">
        <v>457</v>
      </c>
    </row>
    <row r="34" spans="1:1" x14ac:dyDescent="0.2">
      <c r="A34" s="2" t="s">
        <v>454</v>
      </c>
    </row>
    <row r="35" spans="1:1" x14ac:dyDescent="0.2">
      <c r="A35" s="2" t="s">
        <v>458</v>
      </c>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tabColor rgb="FFFF33CC"/>
  </sheetPr>
  <dimension ref="A3:F28"/>
  <sheetViews>
    <sheetView zoomScaleNormal="100" zoomScaleSheetLayoutView="90" workbookViewId="0">
      <pane ySplit="5" topLeftCell="A6" activePane="bottomLeft" state="frozen"/>
      <selection activeCell="A11" sqref="A11"/>
      <selection pane="bottomLeft" activeCell="A11" sqref="A11"/>
    </sheetView>
  </sheetViews>
  <sheetFormatPr defaultColWidth="9.140625" defaultRowHeight="15" x14ac:dyDescent="0.3"/>
  <cols>
    <col min="1" max="3" width="9.140625" style="25"/>
    <col min="4" max="4" width="45" style="25" customWidth="1"/>
    <col min="5" max="5" width="9" style="25" customWidth="1"/>
    <col min="6" max="16384" width="9.140625" style="25"/>
  </cols>
  <sheetData>
    <row r="3" spans="1:6" x14ac:dyDescent="0.3">
      <c r="F3" s="28" t="s">
        <v>4</v>
      </c>
    </row>
    <row r="4" spans="1:6" ht="21" x14ac:dyDescent="0.4">
      <c r="A4" s="36" t="str">
        <f>Basisoplysninger!C11 &amp; " LOKALFORENING " &amp; Basisoplysninger!C10</f>
        <v>BALLERUP LOKALFORENING 2025</v>
      </c>
      <c r="F4" s="35" t="s">
        <v>5</v>
      </c>
    </row>
    <row r="5" spans="1:6" ht="21.75" thickBot="1" x14ac:dyDescent="0.45">
      <c r="A5" s="37" t="s">
        <v>6</v>
      </c>
      <c r="B5" s="26"/>
      <c r="C5" s="26"/>
      <c r="D5" s="26"/>
      <c r="E5" s="26"/>
    </row>
    <row r="6" spans="1:6" ht="15.75" customHeight="1" x14ac:dyDescent="0.3"/>
    <row r="7" spans="1:6" ht="15.75" customHeight="1" x14ac:dyDescent="0.3"/>
    <row r="8" spans="1:6" ht="15.75" customHeight="1" x14ac:dyDescent="0.3">
      <c r="F8" s="35" t="s">
        <v>7</v>
      </c>
    </row>
    <row r="9" spans="1:6" ht="15.75" customHeight="1" x14ac:dyDescent="0.3">
      <c r="A9" s="28"/>
      <c r="E9" s="38" t="s">
        <v>8</v>
      </c>
    </row>
    <row r="10" spans="1:6" ht="15.75" customHeight="1" x14ac:dyDescent="0.3"/>
    <row r="11" spans="1:6" ht="15.75" customHeight="1" x14ac:dyDescent="0.3">
      <c r="A11" s="25" t="s">
        <v>9</v>
      </c>
      <c r="E11" s="39">
        <v>1</v>
      </c>
    </row>
    <row r="12" spans="1:6" ht="15.75" customHeight="1" x14ac:dyDescent="0.3">
      <c r="E12" s="39"/>
    </row>
    <row r="13" spans="1:6" ht="15.75" customHeight="1" x14ac:dyDescent="0.3">
      <c r="A13" s="25" t="s">
        <v>10</v>
      </c>
      <c r="E13" s="39">
        <v>2</v>
      </c>
    </row>
    <row r="14" spans="1:6" ht="15.75" customHeight="1" x14ac:dyDescent="0.3">
      <c r="E14" s="39" t="s">
        <v>11</v>
      </c>
    </row>
    <row r="15" spans="1:6" ht="15.75" customHeight="1" x14ac:dyDescent="0.3">
      <c r="A15" s="25" t="s">
        <v>12</v>
      </c>
      <c r="E15" s="39">
        <v>3</v>
      </c>
    </row>
    <row r="16" spans="1:6" ht="15.75" customHeight="1" x14ac:dyDescent="0.3">
      <c r="E16" s="39"/>
    </row>
    <row r="17" spans="1:5" ht="15.75" customHeight="1" x14ac:dyDescent="0.3">
      <c r="A17" s="25" t="s">
        <v>13</v>
      </c>
      <c r="E17" s="39">
        <v>4</v>
      </c>
    </row>
    <row r="18" spans="1:5" ht="15.75" customHeight="1" x14ac:dyDescent="0.3"/>
    <row r="19" spans="1:5" ht="15.75" customHeight="1" x14ac:dyDescent="0.3">
      <c r="A19" s="25" t="s">
        <v>14</v>
      </c>
      <c r="E19" s="40" t="s">
        <v>15</v>
      </c>
    </row>
    <row r="20" spans="1:5" ht="15.75" customHeight="1" x14ac:dyDescent="0.3"/>
    <row r="21" spans="1:5" ht="15.75" customHeight="1" x14ac:dyDescent="0.3">
      <c r="A21" s="25" t="s">
        <v>16</v>
      </c>
      <c r="E21" s="40" t="s">
        <v>17</v>
      </c>
    </row>
    <row r="22" spans="1:5" ht="15.75" customHeight="1" x14ac:dyDescent="0.3"/>
    <row r="23" spans="1:5" ht="15.75" customHeight="1" x14ac:dyDescent="0.3"/>
    <row r="24" spans="1:5" ht="15.75" customHeight="1" x14ac:dyDescent="0.3"/>
    <row r="25" spans="1:5" ht="15.75" customHeight="1" x14ac:dyDescent="0.3"/>
    <row r="26" spans="1:5" ht="15.75" customHeight="1" x14ac:dyDescent="0.3"/>
    <row r="27" spans="1:5" ht="15.75" customHeight="1" x14ac:dyDescent="0.3"/>
    <row r="28" spans="1:5" ht="15.75" customHeight="1" x14ac:dyDescent="0.3"/>
  </sheetData>
  <sheetProtection algorithmName="SHA-512" hashValue="N//3JdYvbJZT/Pq+xdbTwlZxKUW0b9pJ17K/EUTJ9qc0pfu8wts+NjpAl3dMiZ6pyUdZ9JLa4M7hMjlgZpC47Q==" saltValue="C0+9H1iSR5id+pc147nLj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tabColor rgb="FFFF33CC"/>
  </sheetPr>
  <dimension ref="A3:K40"/>
  <sheetViews>
    <sheetView zoomScale="90" zoomScaleNormal="90" workbookViewId="0">
      <pane ySplit="5" topLeftCell="A8" activePane="bottomLeft" state="frozen"/>
      <selection pane="bottomLeft" activeCell="D44" sqref="D44"/>
    </sheetView>
  </sheetViews>
  <sheetFormatPr defaultColWidth="9.140625" defaultRowHeight="15" x14ac:dyDescent="0.3"/>
  <cols>
    <col min="1" max="1" width="3" style="25" customWidth="1"/>
    <col min="2" max="2" width="41.28515625" style="25" customWidth="1"/>
    <col min="3" max="3" width="1.7109375" style="25" customWidth="1"/>
    <col min="4" max="4" width="5.42578125" style="25" customWidth="1"/>
    <col min="5" max="5" width="24.42578125" style="25" customWidth="1"/>
    <col min="6" max="6" width="9.140625" style="25"/>
    <col min="7" max="7" width="35.7109375" style="25" customWidth="1"/>
    <col min="8" max="16384" width="9.140625" style="25"/>
  </cols>
  <sheetData>
    <row r="3" spans="1:11" x14ac:dyDescent="0.3">
      <c r="F3" s="28"/>
    </row>
    <row r="4" spans="1:11" ht="21" x14ac:dyDescent="0.4">
      <c r="A4" s="36" t="str">
        <f>Basisoplysninger!C11 &amp; " LOKALFORENING " &amp; Basisoplysninger!C10</f>
        <v>BALLERUP LOKALFORENING 2025</v>
      </c>
      <c r="G4" s="28" t="s">
        <v>0</v>
      </c>
    </row>
    <row r="5" spans="1:11" ht="21.75" thickBot="1" x14ac:dyDescent="0.45">
      <c r="A5" s="41" t="s">
        <v>18</v>
      </c>
      <c r="B5" s="41"/>
      <c r="C5" s="41"/>
      <c r="D5" s="41"/>
      <c r="E5" s="41"/>
      <c r="F5" s="42"/>
      <c r="G5" s="35" t="s">
        <v>5</v>
      </c>
    </row>
    <row r="7" spans="1:11" ht="18" x14ac:dyDescent="0.35">
      <c r="A7" s="27" t="s">
        <v>19</v>
      </c>
      <c r="C7" s="43"/>
      <c r="D7" s="43"/>
      <c r="E7" s="43"/>
      <c r="F7" s="43"/>
    </row>
    <row r="8" spans="1:11" ht="15.75" customHeight="1" x14ac:dyDescent="0.3">
      <c r="A8" s="289" t="str">
        <f>"Årsregnskabet for " &amp; Basisoplysninger!C10 &amp; " indstilles af bestyrelsen til generalforsamlingens godkendelse. Bestyrelsen finder, at årsregnskabet giver et korrekt og fyldestgørende billede af lokalforeningens aktiver, passiver samt af resultat af foreningens aktiviteter."</f>
        <v>Årsregnskabet for 2025 indstilles af bestyrelsen til generalforsamlingens godkendelse. Bestyrelsen finder, at årsregnskabet giver et korrekt og fyldestgørende billede af lokalforeningens aktiver, passiver samt af resultat af foreningens aktiviteter.</v>
      </c>
      <c r="B8" s="289"/>
      <c r="C8" s="289"/>
      <c r="D8" s="289"/>
      <c r="E8" s="289"/>
      <c r="F8" s="289"/>
      <c r="G8" s="35" t="s">
        <v>20</v>
      </c>
    </row>
    <row r="9" spans="1:11" s="30" customFormat="1" ht="33" customHeight="1" x14ac:dyDescent="0.2">
      <c r="A9" s="289"/>
      <c r="B9" s="289"/>
      <c r="C9" s="289"/>
      <c r="D9" s="289"/>
      <c r="E9" s="289"/>
      <c r="F9" s="289"/>
    </row>
    <row r="10" spans="1:11" s="30" customFormat="1" ht="15.75" customHeight="1" x14ac:dyDescent="0.2">
      <c r="A10" s="289" t="s">
        <v>21</v>
      </c>
      <c r="B10" s="289"/>
      <c r="C10" s="289"/>
      <c r="D10" s="289"/>
      <c r="E10" s="289"/>
      <c r="F10" s="289"/>
    </row>
    <row r="11" spans="1:11" s="30" customFormat="1" ht="60.75" customHeight="1" x14ac:dyDescent="0.2">
      <c r="A11" s="292"/>
      <c r="B11" s="292"/>
      <c r="C11" s="292"/>
      <c r="D11" s="292"/>
      <c r="E11" s="292"/>
      <c r="F11" s="292"/>
      <c r="G11" s="44" t="s">
        <v>22</v>
      </c>
      <c r="H11" s="44"/>
      <c r="I11" s="45"/>
      <c r="J11" s="45"/>
    </row>
    <row r="12" spans="1:11" s="30" customFormat="1" ht="9" customHeight="1" x14ac:dyDescent="0.2">
      <c r="C12" s="46"/>
      <c r="D12" s="46"/>
      <c r="E12" s="46"/>
      <c r="F12" s="46"/>
      <c r="G12" s="47"/>
      <c r="H12" s="47"/>
    </row>
    <row r="13" spans="1:11" s="30" customFormat="1" ht="15" customHeight="1" x14ac:dyDescent="0.3">
      <c r="A13" s="290">
        <f>+Basisoplysninger!C21</f>
        <v>0</v>
      </c>
      <c r="B13" s="290"/>
      <c r="C13" s="46"/>
      <c r="D13" s="46" t="s">
        <v>23</v>
      </c>
      <c r="E13" s="286">
        <f>+Basisoplysninger!C22</f>
        <v>0</v>
      </c>
      <c r="F13" s="286"/>
      <c r="G13" s="35" t="s">
        <v>24</v>
      </c>
    </row>
    <row r="14" spans="1:11" s="30" customFormat="1" ht="12.75" customHeight="1" x14ac:dyDescent="0.2">
      <c r="C14" s="46"/>
      <c r="D14" s="46"/>
      <c r="E14" s="46"/>
      <c r="F14" s="46"/>
    </row>
    <row r="15" spans="1:11" s="30" customFormat="1" ht="13.5" customHeight="1" x14ac:dyDescent="0.2">
      <c r="A15" s="48"/>
      <c r="B15" s="48"/>
      <c r="C15" s="46"/>
      <c r="D15" s="49"/>
      <c r="E15" s="49"/>
      <c r="F15" s="49"/>
      <c r="G15" s="44" t="s">
        <v>25</v>
      </c>
      <c r="H15" s="45"/>
      <c r="I15" s="45"/>
      <c r="J15" s="45"/>
    </row>
    <row r="16" spans="1:11" s="30" customFormat="1" ht="15" customHeight="1" x14ac:dyDescent="0.3">
      <c r="A16" s="283" t="str">
        <f>+Basisoplysninger!C17</f>
        <v>Joan Henriksen</v>
      </c>
      <c r="B16" s="283"/>
      <c r="C16" s="46"/>
      <c r="D16" s="283" t="str">
        <f>+Basisoplysninger!D17</f>
        <v>Ulla Florence</v>
      </c>
      <c r="E16" s="283"/>
      <c r="F16" s="50"/>
      <c r="G16" s="35" t="s">
        <v>26</v>
      </c>
      <c r="K16" s="29"/>
    </row>
    <row r="17" spans="1:9" s="30" customFormat="1" ht="15.75" customHeight="1" x14ac:dyDescent="0.2">
      <c r="A17" s="287" t="s">
        <v>27</v>
      </c>
      <c r="B17" s="287"/>
      <c r="C17" s="52"/>
      <c r="D17" s="293" t="s">
        <v>28</v>
      </c>
      <c r="E17" s="293"/>
      <c r="F17" s="53"/>
    </row>
    <row r="18" spans="1:9" x14ac:dyDescent="0.3">
      <c r="C18" s="43"/>
      <c r="D18" s="43"/>
      <c r="E18" s="43"/>
      <c r="F18" s="43"/>
      <c r="G18" s="28"/>
    </row>
    <row r="19" spans="1:9" ht="18" x14ac:dyDescent="0.35">
      <c r="A19" s="27" t="s">
        <v>29</v>
      </c>
      <c r="C19" s="43"/>
      <c r="D19" s="43"/>
      <c r="E19" s="43"/>
      <c r="F19" s="43"/>
      <c r="G19" s="28"/>
    </row>
    <row r="20" spans="1:9" ht="15.75" customHeight="1" x14ac:dyDescent="0.3">
      <c r="A20" s="289" t="s">
        <v>459</v>
      </c>
      <c r="B20" s="289"/>
      <c r="C20" s="289"/>
      <c r="D20" s="289"/>
      <c r="E20" s="289"/>
      <c r="F20" s="289"/>
      <c r="G20" s="28"/>
    </row>
    <row r="21" spans="1:9" ht="49.5" customHeight="1" x14ac:dyDescent="0.3">
      <c r="A21" s="289"/>
      <c r="B21" s="289"/>
      <c r="C21" s="289"/>
      <c r="D21" s="289"/>
      <c r="E21" s="289"/>
      <c r="F21" s="289"/>
    </row>
    <row r="22" spans="1:9" ht="7.5" customHeight="1" x14ac:dyDescent="0.3">
      <c r="A22" s="31"/>
      <c r="B22" s="31"/>
      <c r="C22" s="31"/>
      <c r="D22" s="31"/>
      <c r="E22" s="31"/>
      <c r="F22" s="31"/>
    </row>
    <row r="23" spans="1:9" ht="15.75" customHeight="1" x14ac:dyDescent="0.3">
      <c r="A23" s="289" t="s">
        <v>30</v>
      </c>
      <c r="B23" s="289"/>
      <c r="C23" s="289"/>
      <c r="D23" s="289"/>
      <c r="E23" s="289"/>
      <c r="F23" s="289"/>
    </row>
    <row r="24" spans="1:9" ht="65.25" customHeight="1" x14ac:dyDescent="0.3">
      <c r="A24" s="292"/>
      <c r="B24" s="292"/>
      <c r="C24" s="292"/>
      <c r="D24" s="292"/>
      <c r="E24" s="292"/>
      <c r="F24" s="292"/>
      <c r="G24" s="54" t="s">
        <v>31</v>
      </c>
      <c r="H24" s="54"/>
    </row>
    <row r="25" spans="1:9" ht="7.5" customHeight="1" x14ac:dyDescent="0.3">
      <c r="C25" s="43"/>
      <c r="D25" s="43"/>
      <c r="E25" s="43"/>
      <c r="F25" s="43"/>
    </row>
    <row r="26" spans="1:9" s="30" customFormat="1" ht="15.75" customHeight="1" x14ac:dyDescent="0.3">
      <c r="A26" s="290">
        <f>+Basisoplysninger!E21</f>
        <v>0</v>
      </c>
      <c r="B26" s="290"/>
      <c r="C26" s="46"/>
      <c r="D26" s="46" t="s">
        <v>32</v>
      </c>
      <c r="E26" s="286">
        <f>+Basisoplysninger!E22</f>
        <v>0</v>
      </c>
      <c r="F26" s="286"/>
      <c r="G26" s="35" t="s">
        <v>24</v>
      </c>
    </row>
    <row r="27" spans="1:9" s="30" customFormat="1" ht="12.75" customHeight="1" x14ac:dyDescent="0.2">
      <c r="C27" s="55"/>
      <c r="D27" s="55"/>
      <c r="E27" s="55"/>
      <c r="F27" s="55"/>
    </row>
    <row r="28" spans="1:9" x14ac:dyDescent="0.3">
      <c r="A28" s="56"/>
      <c r="B28" s="56"/>
      <c r="C28" s="43"/>
      <c r="D28" s="57"/>
      <c r="E28" s="57"/>
      <c r="F28" s="57"/>
      <c r="G28" s="282" t="s">
        <v>33</v>
      </c>
      <c r="H28" s="282"/>
      <c r="I28" s="282"/>
    </row>
    <row r="29" spans="1:9" x14ac:dyDescent="0.3">
      <c r="A29" s="283" t="str">
        <f>+Basisoplysninger!E17</f>
        <v>Ann-Britt Gründahl</v>
      </c>
      <c r="B29" s="283"/>
      <c r="C29" s="43"/>
      <c r="D29" s="283" t="str">
        <f>+Basisoplysninger!F17</f>
        <v>Dagny S Jensen</v>
      </c>
      <c r="E29" s="283"/>
      <c r="F29" s="283"/>
      <c r="G29" s="35" t="s">
        <v>26</v>
      </c>
    </row>
    <row r="30" spans="1:9" ht="15.75" customHeight="1" x14ac:dyDescent="0.3">
      <c r="A30" s="288" t="s">
        <v>34</v>
      </c>
      <c r="B30" s="288"/>
      <c r="C30" s="58"/>
      <c r="D30" s="288" t="s">
        <v>34</v>
      </c>
      <c r="E30" s="288"/>
      <c r="F30" s="288"/>
    </row>
    <row r="31" spans="1:9" x14ac:dyDescent="0.3">
      <c r="A31" s="284">
        <f>+Basisoplysninger!E18</f>
        <v>0</v>
      </c>
      <c r="B31" s="284"/>
      <c r="C31" s="32"/>
      <c r="D31" s="284">
        <f>+Basisoplysninger!F18</f>
        <v>0</v>
      </c>
      <c r="E31" s="284"/>
      <c r="F31" s="32"/>
      <c r="G31" s="281" t="s">
        <v>35</v>
      </c>
      <c r="H31" s="281"/>
      <c r="I31" s="281"/>
    </row>
    <row r="32" spans="1:9" x14ac:dyDescent="0.3">
      <c r="A32" s="284">
        <f>+Basisoplysninger!E19</f>
        <v>0</v>
      </c>
      <c r="B32" s="284"/>
      <c r="C32" s="59"/>
      <c r="D32" s="284">
        <f>+Basisoplysninger!F19</f>
        <v>0</v>
      </c>
      <c r="E32" s="284"/>
      <c r="F32" s="32"/>
      <c r="G32" s="281"/>
      <c r="H32" s="281"/>
      <c r="I32" s="281"/>
    </row>
    <row r="33" spans="1:9" x14ac:dyDescent="0.3">
      <c r="A33" s="284">
        <f>+Basisoplysninger!E20</f>
        <v>0</v>
      </c>
      <c r="B33" s="284"/>
      <c r="C33" s="59"/>
      <c r="D33" s="284">
        <f>+Basisoplysninger!F20</f>
        <v>0</v>
      </c>
      <c r="E33" s="284"/>
      <c r="F33" s="32"/>
      <c r="G33" s="281"/>
      <c r="H33" s="281"/>
      <c r="I33" s="281"/>
    </row>
    <row r="34" spans="1:9" x14ac:dyDescent="0.3">
      <c r="A34" s="32"/>
      <c r="B34" s="32"/>
      <c r="C34" s="59"/>
      <c r="D34" s="284"/>
      <c r="E34" s="284"/>
    </row>
    <row r="35" spans="1:9" ht="15.75" customHeight="1" x14ac:dyDescent="0.3">
      <c r="A35" s="25" t="s">
        <v>36</v>
      </c>
      <c r="C35" s="43"/>
      <c r="E35" s="286">
        <f>+Basisoplysninger!G22</f>
        <v>0</v>
      </c>
      <c r="F35" s="286"/>
      <c r="G35" s="35" t="s">
        <v>37</v>
      </c>
      <c r="I35" s="60"/>
    </row>
    <row r="36" spans="1:9" ht="9.75" customHeight="1" x14ac:dyDescent="0.3">
      <c r="C36" s="43"/>
      <c r="D36" s="43"/>
      <c r="E36" s="43"/>
      <c r="F36" s="43"/>
    </row>
    <row r="37" spans="1:9" x14ac:dyDescent="0.3">
      <c r="A37" s="56"/>
      <c r="B37" s="290"/>
      <c r="C37" s="290"/>
      <c r="D37" s="43"/>
      <c r="E37" s="43"/>
      <c r="F37" s="43"/>
      <c r="G37" s="61" t="s">
        <v>38</v>
      </c>
      <c r="H37" s="62"/>
      <c r="I37" s="62"/>
    </row>
    <row r="38" spans="1:9" x14ac:dyDescent="0.3">
      <c r="A38" s="291" t="str">
        <f>+Basisoplysninger!G17</f>
        <v>Lone Frøsig</v>
      </c>
      <c r="B38" s="291"/>
      <c r="D38" s="43"/>
      <c r="E38" s="43"/>
      <c r="F38" s="43"/>
      <c r="G38" s="35" t="s">
        <v>26</v>
      </c>
      <c r="H38" s="35" t="s">
        <v>26</v>
      </c>
    </row>
    <row r="39" spans="1:9" ht="15.75" customHeight="1" x14ac:dyDescent="0.3">
      <c r="A39" s="288" t="s">
        <v>39</v>
      </c>
      <c r="B39" s="288"/>
      <c r="C39" s="288"/>
      <c r="D39" s="43"/>
      <c r="E39" s="43"/>
      <c r="F39" s="43"/>
    </row>
    <row r="40" spans="1:9" ht="15.75" customHeight="1" x14ac:dyDescent="0.3">
      <c r="A40" s="285" t="s">
        <v>40</v>
      </c>
      <c r="B40" s="285"/>
      <c r="C40" s="285"/>
      <c r="D40" s="285"/>
      <c r="E40" s="285"/>
      <c r="F40" s="285"/>
      <c r="G40" s="35"/>
    </row>
  </sheetData>
  <sheetProtection algorithmName="SHA-512" hashValue="L1E31xlSOlt0SDeF1VwRwNm/ZmDxj5UBut6QSa7hNcfvGacSe4ID1+4nBbW9ajadnchAxEFMQvdMvpe3aZV+hg==" saltValue="ShwmFL2nhd7vbqU3uXuolg==" spinCount="100000" sheet="1" objects="1" scenarios="1"/>
  <mergeCells count="32">
    <mergeCell ref="A8:F9"/>
    <mergeCell ref="A38:B38"/>
    <mergeCell ref="A33:B33"/>
    <mergeCell ref="A39:C39"/>
    <mergeCell ref="A32:B32"/>
    <mergeCell ref="A10:F10"/>
    <mergeCell ref="A16:B16"/>
    <mergeCell ref="A11:F11"/>
    <mergeCell ref="A24:F24"/>
    <mergeCell ref="A13:B13"/>
    <mergeCell ref="E13:F13"/>
    <mergeCell ref="D17:E17"/>
    <mergeCell ref="A20:F21"/>
    <mergeCell ref="A40:F40"/>
    <mergeCell ref="E35:F35"/>
    <mergeCell ref="A31:B31"/>
    <mergeCell ref="A17:B17"/>
    <mergeCell ref="A30:B30"/>
    <mergeCell ref="A23:F23"/>
    <mergeCell ref="B37:C37"/>
    <mergeCell ref="D30:F30"/>
    <mergeCell ref="A29:B29"/>
    <mergeCell ref="A26:B26"/>
    <mergeCell ref="D34:E34"/>
    <mergeCell ref="D29:F29"/>
    <mergeCell ref="E26:F26"/>
    <mergeCell ref="G31:I33"/>
    <mergeCell ref="G28:I28"/>
    <mergeCell ref="D16:E16"/>
    <mergeCell ref="D31:E31"/>
    <mergeCell ref="D32:E32"/>
    <mergeCell ref="D33:E33"/>
  </mergeCells>
  <conditionalFormatting sqref="A13:B13">
    <cfRule type="cellIs" dxfId="28" priority="3" operator="equal">
      <formula>0</formula>
    </cfRule>
  </conditionalFormatting>
  <conditionalFormatting sqref="A16:B16">
    <cfRule type="cellIs" dxfId="27" priority="2" operator="equal">
      <formula>0</formula>
    </cfRule>
  </conditionalFormatting>
  <conditionalFormatting sqref="A26:B26">
    <cfRule type="cellIs" dxfId="26" priority="4" operator="equal">
      <formula>0</formula>
    </cfRule>
  </conditionalFormatting>
  <conditionalFormatting sqref="A29:B29">
    <cfRule type="cellIs" dxfId="25" priority="16" operator="equal">
      <formula>0</formula>
    </cfRule>
  </conditionalFormatting>
  <conditionalFormatting sqref="A31:B33">
    <cfRule type="cellIs" dxfId="24" priority="12" operator="equal">
      <formula>0</formula>
    </cfRule>
  </conditionalFormatting>
  <conditionalFormatting sqref="A38:B38">
    <cfRule type="cellIs" dxfId="23" priority="17" operator="equal">
      <formula>0</formula>
    </cfRule>
  </conditionalFormatting>
  <conditionalFormatting sqref="D29">
    <cfRule type="cellIs" dxfId="22" priority="15" operator="equal">
      <formula>0</formula>
    </cfRule>
  </conditionalFormatting>
  <conditionalFormatting sqref="D16:F16">
    <cfRule type="cellIs" dxfId="21" priority="1" operator="equal">
      <formula>0</formula>
    </cfRule>
  </conditionalFormatting>
  <conditionalFormatting sqref="D31:F33">
    <cfRule type="cellIs" dxfId="20" priority="9" operator="equal">
      <formula>0</formula>
    </cfRule>
  </conditionalFormatting>
  <conditionalFormatting sqref="E13:F13">
    <cfRule type="cellIs" dxfId="19" priority="5" operator="equal">
      <formula>0</formula>
    </cfRule>
  </conditionalFormatting>
  <conditionalFormatting sqref="E26:F26">
    <cfRule type="cellIs" dxfId="18" priority="6" operator="equal">
      <formula>0</formula>
    </cfRule>
  </conditionalFormatting>
  <conditionalFormatting sqref="E35:F35">
    <cfRule type="cellIs" dxfId="17" priority="7" operator="equal">
      <formula>0</formula>
    </cfRule>
  </conditionalFormatting>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tabColor rgb="FFFF33CC"/>
  </sheetPr>
  <dimension ref="A3:J31"/>
  <sheetViews>
    <sheetView zoomScale="90" zoomScaleNormal="90" zoomScaleSheetLayoutView="100" workbookViewId="0">
      <pane ySplit="5" topLeftCell="A10" activePane="bottomLeft" state="frozen"/>
      <selection pane="bottomLeft" activeCell="A24" sqref="A24"/>
    </sheetView>
  </sheetViews>
  <sheetFormatPr defaultColWidth="9.140625" defaultRowHeight="15" x14ac:dyDescent="0.3"/>
  <cols>
    <col min="1" max="1" width="44.28515625" style="25" customWidth="1"/>
    <col min="2" max="4" width="9.140625" style="25"/>
    <col min="5" max="5" width="11.42578125" style="25" customWidth="1"/>
    <col min="6" max="6" width="33" style="25" bestFit="1" customWidth="1"/>
    <col min="7" max="16384" width="9.140625" style="25"/>
  </cols>
  <sheetData>
    <row r="3" spans="1:10" x14ac:dyDescent="0.3">
      <c r="F3" s="28" t="s">
        <v>0</v>
      </c>
    </row>
    <row r="4" spans="1:10" ht="21" x14ac:dyDescent="0.4">
      <c r="A4" s="36" t="str">
        <f>Basisoplysninger!C11 &amp; " LOKALFORENING " &amp; Basisoplysninger!C10</f>
        <v>BALLERUP LOKALFORENING 2025</v>
      </c>
      <c r="B4" s="36"/>
      <c r="C4" s="36"/>
      <c r="D4" s="36"/>
      <c r="E4" s="36"/>
      <c r="F4" s="35" t="s">
        <v>5</v>
      </c>
      <c r="G4" s="36"/>
      <c r="H4" s="36"/>
      <c r="I4" s="36"/>
      <c r="J4" s="36"/>
    </row>
    <row r="5" spans="1:10" ht="21.75" thickBot="1" x14ac:dyDescent="0.45">
      <c r="A5" s="37" t="s">
        <v>41</v>
      </c>
      <c r="B5" s="26"/>
      <c r="C5" s="26"/>
      <c r="D5" s="26"/>
      <c r="E5" s="26"/>
    </row>
    <row r="6" spans="1:10" x14ac:dyDescent="0.3">
      <c r="F6" s="54" t="s">
        <v>42</v>
      </c>
    </row>
    <row r="7" spans="1:10" ht="8.25" customHeight="1" x14ac:dyDescent="0.3">
      <c r="A7" s="51"/>
      <c r="B7" s="31"/>
      <c r="C7" s="31"/>
      <c r="D7" s="31"/>
      <c r="E7" s="31"/>
    </row>
    <row r="8" spans="1:10" ht="40.5" customHeight="1" x14ac:dyDescent="0.3">
      <c r="A8" s="289" t="s">
        <v>495</v>
      </c>
      <c r="B8" s="289"/>
      <c r="C8" s="289"/>
      <c r="D8" s="289"/>
      <c r="E8" s="289"/>
    </row>
    <row r="9" spans="1:10" x14ac:dyDescent="0.3">
      <c r="A9" s="63"/>
      <c r="B9" s="31"/>
      <c r="C9" s="31"/>
      <c r="D9" s="31"/>
      <c r="E9" s="31"/>
    </row>
    <row r="10" spans="1:10" x14ac:dyDescent="0.3">
      <c r="A10" s="64" t="s">
        <v>43</v>
      </c>
      <c r="B10" s="64"/>
      <c r="C10" s="64"/>
      <c r="D10" s="64"/>
      <c r="E10" s="64"/>
    </row>
    <row r="11" spans="1:10" ht="102" customHeight="1" x14ac:dyDescent="0.3">
      <c r="A11" s="289" t="s">
        <v>496</v>
      </c>
      <c r="B11" s="289"/>
      <c r="C11" s="289"/>
      <c r="D11" s="289"/>
      <c r="E11" s="289"/>
    </row>
    <row r="12" spans="1:10" x14ac:dyDescent="0.3">
      <c r="A12" s="63"/>
      <c r="B12" s="31"/>
      <c r="C12" s="31"/>
      <c r="D12" s="31"/>
      <c r="E12" s="31"/>
    </row>
    <row r="13" spans="1:10" x14ac:dyDescent="0.3">
      <c r="A13" s="64" t="s">
        <v>44</v>
      </c>
      <c r="B13" s="64"/>
      <c r="C13" s="64"/>
      <c r="D13" s="64"/>
      <c r="E13" s="64"/>
    </row>
    <row r="14" spans="1:10" ht="63" customHeight="1" x14ac:dyDescent="0.3">
      <c r="A14" s="289" t="s">
        <v>45</v>
      </c>
      <c r="B14" s="289"/>
      <c r="C14" s="289"/>
      <c r="D14" s="289"/>
      <c r="E14" s="289"/>
    </row>
    <row r="15" spans="1:10" ht="8.25" customHeight="1" x14ac:dyDescent="0.3">
      <c r="A15" s="31"/>
      <c r="B15" s="31"/>
      <c r="C15" s="31"/>
      <c r="D15" s="31"/>
      <c r="E15" s="31"/>
    </row>
    <row r="16" spans="1:10" ht="54.75" customHeight="1" x14ac:dyDescent="0.3">
      <c r="A16" s="289" t="s">
        <v>576</v>
      </c>
      <c r="B16" s="289"/>
      <c r="C16" s="289"/>
      <c r="D16" s="289"/>
      <c r="E16" s="289"/>
    </row>
    <row r="17" spans="1:5" ht="8.25" customHeight="1" x14ac:dyDescent="0.3">
      <c r="A17" s="31"/>
      <c r="B17" s="31"/>
      <c r="C17" s="31"/>
      <c r="D17" s="31"/>
      <c r="E17" s="31"/>
    </row>
    <row r="18" spans="1:5" x14ac:dyDescent="0.3">
      <c r="A18" s="64" t="s">
        <v>13</v>
      </c>
      <c r="B18" s="64"/>
      <c r="C18" s="64"/>
      <c r="D18" s="64"/>
      <c r="E18" s="64"/>
    </row>
    <row r="19" spans="1:5" ht="74.25" customHeight="1" x14ac:dyDescent="0.3">
      <c r="A19" s="289" t="s">
        <v>46</v>
      </c>
      <c r="B19" s="289"/>
      <c r="C19" s="289"/>
      <c r="D19" s="289"/>
      <c r="E19" s="289"/>
    </row>
    <row r="20" spans="1:5" ht="6.75" customHeight="1" x14ac:dyDescent="0.3">
      <c r="A20" s="31"/>
      <c r="B20" s="31"/>
      <c r="C20" s="31"/>
      <c r="D20" s="31"/>
      <c r="E20" s="31"/>
    </row>
    <row r="21" spans="1:5" ht="72.75" customHeight="1" x14ac:dyDescent="0.3">
      <c r="A21" s="289" t="s">
        <v>47</v>
      </c>
      <c r="B21" s="289"/>
      <c r="C21" s="289"/>
      <c r="D21" s="289"/>
      <c r="E21" s="289"/>
    </row>
    <row r="22" spans="1:5" ht="6.75" customHeight="1" x14ac:dyDescent="0.3">
      <c r="A22" s="31"/>
      <c r="B22" s="31"/>
      <c r="C22" s="31"/>
      <c r="D22" s="31"/>
      <c r="E22" s="31"/>
    </row>
    <row r="23" spans="1:5" ht="78" customHeight="1" x14ac:dyDescent="0.3">
      <c r="A23" s="289" t="s">
        <v>573</v>
      </c>
      <c r="B23" s="289"/>
      <c r="C23" s="289"/>
      <c r="D23" s="289"/>
      <c r="E23" s="289"/>
    </row>
    <row r="24" spans="1:5" x14ac:dyDescent="0.3">
      <c r="A24" s="31"/>
      <c r="B24" s="31"/>
      <c r="C24" s="31"/>
      <c r="D24" s="31"/>
      <c r="E24" s="31"/>
    </row>
    <row r="25" spans="1:5" x14ac:dyDescent="0.3">
      <c r="A25" s="31"/>
      <c r="B25" s="31"/>
      <c r="C25" s="31"/>
      <c r="D25" s="31"/>
      <c r="E25" s="31"/>
    </row>
    <row r="26" spans="1:5" x14ac:dyDescent="0.3">
      <c r="A26" s="31"/>
      <c r="B26" s="31"/>
      <c r="C26" s="31"/>
      <c r="D26" s="31"/>
      <c r="E26" s="31"/>
    </row>
    <row r="27" spans="1:5" x14ac:dyDescent="0.3">
      <c r="A27" s="31"/>
      <c r="B27" s="31"/>
      <c r="C27" s="31"/>
      <c r="D27" s="31"/>
      <c r="E27" s="31"/>
    </row>
    <row r="28" spans="1:5" x14ac:dyDescent="0.3">
      <c r="A28" s="31"/>
      <c r="B28" s="31"/>
      <c r="C28" s="31"/>
      <c r="D28" s="31"/>
      <c r="E28" s="31"/>
    </row>
    <row r="29" spans="1:5" x14ac:dyDescent="0.3">
      <c r="A29" s="31"/>
      <c r="B29" s="31"/>
      <c r="C29" s="31"/>
      <c r="D29" s="31"/>
      <c r="E29" s="31"/>
    </row>
    <row r="30" spans="1:5" x14ac:dyDescent="0.3">
      <c r="A30" s="31"/>
      <c r="B30" s="31"/>
      <c r="C30" s="31"/>
      <c r="D30" s="31"/>
      <c r="E30" s="31"/>
    </row>
    <row r="31" spans="1:5" x14ac:dyDescent="0.3">
      <c r="A31" s="294" t="s">
        <v>48</v>
      </c>
      <c r="B31" s="294"/>
      <c r="C31" s="294"/>
      <c r="D31" s="294"/>
      <c r="E31" s="294"/>
    </row>
  </sheetData>
  <sheetProtection algorithmName="SHA-512" hashValue="zIzMULJ6t5CovL9NZdsj1kkfS4U+7GLM4EZeguvfIcbzv8vJsixubCRDQ+vAK52aRL0A1cQdEvZSzyXe3zhuMQ==" saltValue="aX707cANj0Yp5mpAPXpIjw==" spinCount="100000" sheet="1" objects="1" scenarios="1"/>
  <mergeCells count="8">
    <mergeCell ref="A8:E8"/>
    <mergeCell ref="A31:E31"/>
    <mergeCell ref="A14:E14"/>
    <mergeCell ref="A11:E11"/>
    <mergeCell ref="A16:E16"/>
    <mergeCell ref="A19:E19"/>
    <mergeCell ref="A21:E21"/>
    <mergeCell ref="A23:E23"/>
  </mergeCells>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1">
    <tabColor rgb="FFFF33CC"/>
  </sheetPr>
  <dimension ref="A3:T46"/>
  <sheetViews>
    <sheetView zoomScale="90" zoomScaleNormal="90" workbookViewId="0">
      <pane ySplit="8" topLeftCell="A9" activePane="bottomLeft" state="frozen"/>
      <selection pane="bottomLeft" activeCell="B52" sqref="B52"/>
    </sheetView>
  </sheetViews>
  <sheetFormatPr defaultColWidth="9.140625" defaultRowHeight="15" x14ac:dyDescent="0.2"/>
  <cols>
    <col min="1" max="1" width="8.42578125" style="179" customWidth="1"/>
    <col min="2" max="2" width="43.7109375" style="179" customWidth="1"/>
    <col min="3" max="3" width="10.42578125" style="179" customWidth="1"/>
    <col min="4" max="4" width="2.7109375" style="179" customWidth="1"/>
    <col min="5" max="5" width="10.42578125" style="179" customWidth="1"/>
    <col min="6" max="6" width="1.7109375" style="179" customWidth="1"/>
    <col min="7" max="7" width="10.42578125" style="179" customWidth="1"/>
    <col min="8" max="8" width="27.7109375" style="179" customWidth="1"/>
    <col min="9" max="16384" width="9.140625" style="179"/>
  </cols>
  <sheetData>
    <row r="3" spans="1:8" x14ac:dyDescent="0.2">
      <c r="H3" s="180" t="s">
        <v>0</v>
      </c>
    </row>
    <row r="4" spans="1:8" ht="21" x14ac:dyDescent="0.2">
      <c r="A4" s="296" t="str">
        <f>Basisoplysninger!C11 &amp; " LOKALFORENING " &amp; Basisoplysninger!C10</f>
        <v>BALLERUP LOKALFORENING 2025</v>
      </c>
      <c r="B4" s="296"/>
      <c r="C4" s="296"/>
      <c r="D4" s="296"/>
      <c r="E4" s="296"/>
      <c r="F4" s="296"/>
      <c r="G4" s="296"/>
      <c r="H4" s="182" t="s">
        <v>5</v>
      </c>
    </row>
    <row r="5" spans="1:8" ht="21.75" thickBot="1" x14ac:dyDescent="0.25">
      <c r="A5" s="295" t="s">
        <v>49</v>
      </c>
      <c r="B5" s="295"/>
      <c r="C5" s="295"/>
      <c r="D5" s="295"/>
      <c r="E5" s="295"/>
      <c r="F5" s="295"/>
      <c r="G5" s="295"/>
      <c r="H5" s="182"/>
    </row>
    <row r="6" spans="1:8" ht="15" customHeight="1" x14ac:dyDescent="0.2">
      <c r="B6" s="181"/>
      <c r="C6" s="181"/>
      <c r="D6" s="181"/>
      <c r="E6" s="181"/>
      <c r="F6" s="181"/>
      <c r="G6" s="183"/>
      <c r="H6" s="184"/>
    </row>
    <row r="7" spans="1:8" ht="21" x14ac:dyDescent="0.2">
      <c r="B7" s="181"/>
      <c r="C7" s="185" t="s">
        <v>50</v>
      </c>
      <c r="D7" s="181"/>
      <c r="E7" s="185" t="s">
        <v>51</v>
      </c>
      <c r="F7" s="181"/>
      <c r="G7" s="185" t="s">
        <v>50</v>
      </c>
    </row>
    <row r="8" spans="1:8" ht="18" x14ac:dyDescent="0.2">
      <c r="A8" s="186" t="s">
        <v>52</v>
      </c>
      <c r="C8" s="187">
        <f>+Basisoplysninger!C10</f>
        <v>2025</v>
      </c>
      <c r="D8" s="188"/>
      <c r="E8" s="187">
        <f>+C8</f>
        <v>2025</v>
      </c>
      <c r="F8" s="188"/>
      <c r="G8" s="187">
        <f>+E8-1</f>
        <v>2024</v>
      </c>
      <c r="H8" s="182" t="s">
        <v>53</v>
      </c>
    </row>
    <row r="9" spans="1:8" ht="18" x14ac:dyDescent="0.2">
      <c r="A9" s="186"/>
      <c r="B9" s="186" t="s">
        <v>54</v>
      </c>
      <c r="C9" s="189"/>
      <c r="H9" s="190" t="s">
        <v>55</v>
      </c>
    </row>
    <row r="10" spans="1:8" ht="15.75" customHeight="1" x14ac:dyDescent="0.2">
      <c r="A10" s="191"/>
      <c r="B10" s="179" t="s">
        <v>56</v>
      </c>
      <c r="C10" s="189">
        <f>-'Faktisk &amp; Budget'!E18</f>
        <v>1600</v>
      </c>
      <c r="E10" s="189">
        <f>-'Faktisk &amp; Budget'!G18</f>
        <v>3000</v>
      </c>
      <c r="F10" s="192"/>
      <c r="G10" s="193">
        <v>1520</v>
      </c>
      <c r="H10" s="182" t="s">
        <v>57</v>
      </c>
    </row>
    <row r="11" spans="1:8" ht="15.75" customHeight="1" x14ac:dyDescent="0.2">
      <c r="A11" s="191">
        <v>1</v>
      </c>
      <c r="B11" s="179" t="s">
        <v>462</v>
      </c>
      <c r="C11" s="189">
        <f>+'Noter resultat'!D18</f>
        <v>805112.67999999993</v>
      </c>
      <c r="E11" s="189">
        <f>+'Noter resultat'!F18</f>
        <v>624500</v>
      </c>
      <c r="F11" s="192"/>
      <c r="G11" s="193">
        <v>692239</v>
      </c>
      <c r="H11" s="182" t="s">
        <v>58</v>
      </c>
    </row>
    <row r="12" spans="1:8" ht="15.75" customHeight="1" x14ac:dyDescent="0.2">
      <c r="A12" s="191">
        <v>2</v>
      </c>
      <c r="B12" s="179" t="s">
        <v>59</v>
      </c>
      <c r="C12" s="189">
        <f>+'Noter resultat'!D64</f>
        <v>72635.490000000005</v>
      </c>
      <c r="E12" s="189">
        <f>+'Noter resultat'!F64</f>
        <v>13000</v>
      </c>
      <c r="F12" s="192"/>
      <c r="G12" s="193">
        <v>62377</v>
      </c>
      <c r="H12" s="182" t="s">
        <v>58</v>
      </c>
    </row>
    <row r="13" spans="1:8" ht="15.75" customHeight="1" x14ac:dyDescent="0.2">
      <c r="A13" s="191">
        <v>3</v>
      </c>
      <c r="B13" s="179" t="s">
        <v>60</v>
      </c>
      <c r="C13" s="189">
        <f>-'Faktisk &amp; Budget'!E31-'Faktisk &amp; Budget'!E32</f>
        <v>8250</v>
      </c>
      <c r="E13" s="189">
        <f>-'Faktisk &amp; Budget'!G31-'Faktisk &amp; Budget'!G32</f>
        <v>10000</v>
      </c>
      <c r="F13" s="192"/>
      <c r="G13" s="194">
        <v>17428</v>
      </c>
      <c r="H13" s="190" t="s">
        <v>55</v>
      </c>
    </row>
    <row r="14" spans="1:8" ht="15.75" customHeight="1" x14ac:dyDescent="0.2">
      <c r="A14" s="191"/>
      <c r="B14" s="179" t="s">
        <v>61</v>
      </c>
      <c r="C14" s="189">
        <f>-'Faktisk &amp; Budget'!E36</f>
        <v>0</v>
      </c>
      <c r="E14" s="189">
        <f>-'Faktisk &amp; Budget'!G36</f>
        <v>0</v>
      </c>
      <c r="F14" s="192"/>
      <c r="G14" s="194">
        <v>0</v>
      </c>
      <c r="H14" s="190" t="s">
        <v>55</v>
      </c>
    </row>
    <row r="15" spans="1:8" ht="18" x14ac:dyDescent="0.2">
      <c r="B15" s="186" t="s">
        <v>62</v>
      </c>
      <c r="C15" s="195">
        <f>SUM(C10:C14)</f>
        <v>887598.16999999993</v>
      </c>
      <c r="D15" s="196"/>
      <c r="E15" s="195">
        <f>SUM(E10:E14)</f>
        <v>650500</v>
      </c>
      <c r="F15" s="197"/>
      <c r="G15" s="198">
        <f>SUM(G10:G14)</f>
        <v>773564</v>
      </c>
      <c r="H15" s="190" t="s">
        <v>63</v>
      </c>
    </row>
    <row r="16" spans="1:8" x14ac:dyDescent="0.2">
      <c r="C16" s="199"/>
      <c r="E16" s="199"/>
      <c r="G16" s="189"/>
      <c r="H16" s="182"/>
    </row>
    <row r="17" spans="1:8" ht="18" x14ac:dyDescent="0.2">
      <c r="B17" s="186" t="s">
        <v>508</v>
      </c>
      <c r="C17" s="199"/>
      <c r="E17" s="199"/>
      <c r="G17" s="189"/>
      <c r="H17" s="182"/>
    </row>
    <row r="18" spans="1:8" ht="15.75" customHeight="1" x14ac:dyDescent="0.2">
      <c r="A18" s="191">
        <v>1</v>
      </c>
      <c r="B18" s="179" t="s">
        <v>462</v>
      </c>
      <c r="C18" s="189">
        <f>+'Noter resultat'!D40</f>
        <v>560264.61</v>
      </c>
      <c r="E18" s="189">
        <f>+'Noter resultat'!F40</f>
        <v>505500</v>
      </c>
      <c r="G18" s="193">
        <v>512909.5</v>
      </c>
      <c r="H18" s="182" t="s">
        <v>58</v>
      </c>
    </row>
    <row r="19" spans="1:8" ht="15.75" customHeight="1" x14ac:dyDescent="0.2">
      <c r="A19" s="191">
        <v>4</v>
      </c>
      <c r="B19" s="179" t="s">
        <v>64</v>
      </c>
      <c r="C19" s="189">
        <f>+'Noter resultat'!D106</f>
        <v>173257.53</v>
      </c>
      <c r="E19" s="189">
        <f>+'Noter resultat'!F106</f>
        <v>102000</v>
      </c>
      <c r="G19" s="193">
        <v>80938.5</v>
      </c>
      <c r="H19" s="182" t="s">
        <v>58</v>
      </c>
    </row>
    <row r="20" spans="1:8" ht="15.75" customHeight="1" x14ac:dyDescent="0.2">
      <c r="B20" s="179" t="s">
        <v>65</v>
      </c>
      <c r="C20" s="189">
        <f>+'Faktisk &amp; Budget'!E89</f>
        <v>0</v>
      </c>
      <c r="E20" s="189">
        <f>+'Faktisk &amp; Budget'!G89</f>
        <v>0</v>
      </c>
      <c r="G20" s="193">
        <v>0</v>
      </c>
      <c r="H20" s="190" t="s">
        <v>55</v>
      </c>
    </row>
    <row r="21" spans="1:8" ht="15.75" customHeight="1" x14ac:dyDescent="0.2">
      <c r="A21" s="191">
        <v>5</v>
      </c>
      <c r="B21" s="179" t="s">
        <v>66</v>
      </c>
      <c r="C21" s="189">
        <f>+'Noter resultat'!D122</f>
        <v>13600.98</v>
      </c>
      <c r="E21" s="189">
        <f>+'Noter resultat'!F122</f>
        <v>4500</v>
      </c>
      <c r="G21" s="193">
        <v>6194</v>
      </c>
      <c r="H21" s="182" t="s">
        <v>58</v>
      </c>
    </row>
    <row r="22" spans="1:8" ht="15.75" customHeight="1" x14ac:dyDescent="0.2">
      <c r="A22" s="191"/>
      <c r="B22" s="179" t="s">
        <v>67</v>
      </c>
      <c r="C22" s="189">
        <f>+'Faktisk &amp; Budget'!E106+'Faktisk &amp; Budget'!E107</f>
        <v>1142</v>
      </c>
      <c r="E22" s="189">
        <f>+'Faktisk &amp; Budget'!G106+'Faktisk &amp; Budget'!G107</f>
        <v>900</v>
      </c>
      <c r="G22" s="193">
        <v>1364</v>
      </c>
      <c r="H22" s="190" t="s">
        <v>55</v>
      </c>
    </row>
    <row r="23" spans="1:8" ht="15.75" customHeight="1" x14ac:dyDescent="0.2">
      <c r="A23" s="191">
        <v>6</v>
      </c>
      <c r="B23" s="179" t="s">
        <v>68</v>
      </c>
      <c r="C23" s="189">
        <f>'Noter resultat'!D128</f>
        <v>15000</v>
      </c>
      <c r="E23" s="189">
        <f>'Noter resultat'!F128</f>
        <v>0</v>
      </c>
      <c r="G23" s="194">
        <v>2500</v>
      </c>
      <c r="H23" s="182" t="s">
        <v>58</v>
      </c>
    </row>
    <row r="24" spans="1:8" ht="22.5" customHeight="1" x14ac:dyDescent="0.2">
      <c r="B24" s="186" t="s">
        <v>69</v>
      </c>
      <c r="C24" s="198">
        <f>SUM(C18:C23)</f>
        <v>763265.12</v>
      </c>
      <c r="E24" s="198">
        <f>SUM(E18:E23)</f>
        <v>612900</v>
      </c>
      <c r="G24" s="198">
        <f>SUM(G18:G23)</f>
        <v>603906</v>
      </c>
      <c r="H24" s="190" t="s">
        <v>63</v>
      </c>
    </row>
    <row r="25" spans="1:8" x14ac:dyDescent="0.2">
      <c r="C25" s="190"/>
      <c r="E25" s="190"/>
      <c r="G25" s="189"/>
      <c r="H25" s="189"/>
    </row>
    <row r="26" spans="1:8" ht="18.75" thickBot="1" x14ac:dyDescent="0.25">
      <c r="B26" s="186" t="s">
        <v>70</v>
      </c>
      <c r="C26" s="200">
        <f>SUM(C15-C24)</f>
        <v>124333.04999999993</v>
      </c>
      <c r="D26" s="201"/>
      <c r="E26" s="200">
        <f>SUM(E15-E24)</f>
        <v>37600</v>
      </c>
      <c r="G26" s="200">
        <f>SUM(G15-G24)</f>
        <v>169658</v>
      </c>
      <c r="H26" s="190" t="s">
        <v>541</v>
      </c>
    </row>
    <row r="27" spans="1:8" ht="13.5" customHeight="1" thickTop="1" x14ac:dyDescent="0.2">
      <c r="E27" s="199"/>
      <c r="G27" s="189"/>
    </row>
    <row r="28" spans="1:8" ht="13.5" customHeight="1" x14ac:dyDescent="0.2">
      <c r="B28" s="180" t="s">
        <v>489</v>
      </c>
      <c r="E28" s="199"/>
      <c r="G28" s="189"/>
    </row>
    <row r="29" spans="1:8" ht="13.5" customHeight="1" x14ac:dyDescent="0.2">
      <c r="B29" s="179" t="s">
        <v>585</v>
      </c>
      <c r="C29" s="189">
        <f>+C11-C18</f>
        <v>244848.06999999995</v>
      </c>
      <c r="E29" s="189">
        <f>+E11-E18</f>
        <v>119000</v>
      </c>
      <c r="G29" s="189">
        <f>+G11-G18</f>
        <v>179329.5</v>
      </c>
      <c r="H29" s="190" t="s">
        <v>537</v>
      </c>
    </row>
    <row r="30" spans="1:8" ht="13.5" customHeight="1" x14ac:dyDescent="0.2">
      <c r="B30" s="179" t="s">
        <v>490</v>
      </c>
      <c r="C30" s="208">
        <f>+C26-C29</f>
        <v>-120515.02000000002</v>
      </c>
      <c r="E30" s="208">
        <f>+E26-E29</f>
        <v>-81400</v>
      </c>
      <c r="G30" s="208">
        <f>+G26-G29</f>
        <v>-9671.5</v>
      </c>
      <c r="H30" s="190" t="s">
        <v>538</v>
      </c>
    </row>
    <row r="31" spans="1:8" ht="15.75" customHeight="1" x14ac:dyDescent="0.2">
      <c r="B31" s="180" t="s">
        <v>491</v>
      </c>
      <c r="C31" s="210">
        <f>SUM(C29:C30)</f>
        <v>124333.04999999993</v>
      </c>
      <c r="D31" s="196"/>
      <c r="E31" s="210">
        <f>SUM(E29:E30)</f>
        <v>37600</v>
      </c>
      <c r="F31" s="211"/>
      <c r="G31" s="210">
        <f>SUM(G29:G30)</f>
        <v>169658</v>
      </c>
      <c r="H31" s="190" t="s">
        <v>63</v>
      </c>
    </row>
    <row r="32" spans="1:8" ht="13.5" customHeight="1" x14ac:dyDescent="0.2">
      <c r="E32" s="199"/>
      <c r="G32" s="189"/>
    </row>
    <row r="33" spans="1:20" ht="15.75" customHeight="1" x14ac:dyDescent="0.2">
      <c r="B33" s="180" t="s">
        <v>44</v>
      </c>
      <c r="E33" s="199"/>
      <c r="G33" s="189"/>
    </row>
    <row r="34" spans="1:20" ht="15.75" customHeight="1" x14ac:dyDescent="0.2">
      <c r="A34" s="191">
        <v>7</v>
      </c>
      <c r="B34" s="202" t="s">
        <v>71</v>
      </c>
      <c r="C34" s="189">
        <f>+Hjælpeberegner!B16</f>
        <v>102424</v>
      </c>
      <c r="D34" s="192"/>
      <c r="E34" s="189">
        <f>+'Noter resultat'!F44</f>
        <v>39500</v>
      </c>
      <c r="F34" s="199"/>
      <c r="G34" s="193">
        <v>69664</v>
      </c>
      <c r="H34" s="182" t="s">
        <v>72</v>
      </c>
    </row>
    <row r="35" spans="1:20" ht="15.75" customHeight="1" x14ac:dyDescent="0.2">
      <c r="B35" s="179" t="s">
        <v>391</v>
      </c>
      <c r="C35" s="205">
        <v>0</v>
      </c>
      <c r="D35" s="206"/>
      <c r="E35" s="205">
        <v>0</v>
      </c>
      <c r="F35" s="207"/>
      <c r="G35" s="193">
        <v>0</v>
      </c>
      <c r="H35" s="203" t="s">
        <v>539</v>
      </c>
      <c r="I35" s="204"/>
      <c r="J35" s="204"/>
      <c r="K35" s="204"/>
      <c r="L35" s="204"/>
      <c r="M35" s="204"/>
      <c r="N35" s="204"/>
      <c r="O35" s="204"/>
      <c r="P35" s="204"/>
      <c r="Q35" s="204"/>
      <c r="R35" s="204"/>
      <c r="S35" s="204"/>
      <c r="T35" s="204"/>
    </row>
    <row r="36" spans="1:20" ht="15.75" customHeight="1" x14ac:dyDescent="0.2">
      <c r="B36" s="179" t="s">
        <v>534</v>
      </c>
      <c r="C36" s="205">
        <f>IF(Resultat!C26=0,0,-IF(Balance!C36&lt;Balance!E36,Balance!E36-Balance!C36,0))</f>
        <v>0</v>
      </c>
      <c r="D36" s="206"/>
      <c r="E36" s="205">
        <v>0</v>
      </c>
      <c r="F36" s="207"/>
      <c r="G36" s="194">
        <v>0</v>
      </c>
      <c r="H36" s="190" t="s">
        <v>536</v>
      </c>
    </row>
    <row r="37" spans="1:20" ht="15.75" customHeight="1" x14ac:dyDescent="0.2">
      <c r="B37" s="276" t="s">
        <v>535</v>
      </c>
      <c r="C37" s="205">
        <v>0</v>
      </c>
      <c r="D37" s="206"/>
      <c r="E37" s="205">
        <v>0</v>
      </c>
      <c r="F37" s="207"/>
      <c r="G37" s="194">
        <v>0</v>
      </c>
      <c r="H37" s="203" t="s">
        <v>540</v>
      </c>
      <c r="I37" s="204"/>
      <c r="J37" s="204"/>
      <c r="K37" s="204"/>
      <c r="L37" s="204"/>
      <c r="M37" s="204"/>
      <c r="N37" s="204"/>
      <c r="O37" s="204"/>
      <c r="P37" s="204"/>
      <c r="Q37" s="204"/>
      <c r="R37" s="204"/>
      <c r="S37" s="204"/>
      <c r="T37" s="204"/>
    </row>
    <row r="38" spans="1:20" ht="15.75" customHeight="1" x14ac:dyDescent="0.2">
      <c r="B38" s="179" t="s">
        <v>534</v>
      </c>
      <c r="C38" s="205">
        <f>IF(Resultat!C26=0,0,-IF(Balance!C37&lt;Balance!E37,Balance!E37-Balance!C37,0))</f>
        <v>0</v>
      </c>
      <c r="D38" s="206"/>
      <c r="E38" s="205">
        <v>0</v>
      </c>
      <c r="F38" s="207"/>
      <c r="G38" s="194">
        <v>0</v>
      </c>
      <c r="H38" s="190" t="s">
        <v>536</v>
      </c>
    </row>
    <row r="39" spans="1:20" ht="15.75" customHeight="1" x14ac:dyDescent="0.2">
      <c r="B39" s="179" t="s">
        <v>75</v>
      </c>
      <c r="C39" s="208">
        <f>C26-SUM(C34:C38)</f>
        <v>21909.04999999993</v>
      </c>
      <c r="D39" s="192"/>
      <c r="E39" s="208">
        <f>E26-SUM(E34:E38)</f>
        <v>-1900</v>
      </c>
      <c r="F39" s="199"/>
      <c r="G39" s="209">
        <v>99994</v>
      </c>
      <c r="H39" s="182" t="s">
        <v>63</v>
      </c>
    </row>
    <row r="40" spans="1:20" ht="15.75" customHeight="1" x14ac:dyDescent="0.2">
      <c r="B40" s="180" t="s">
        <v>488</v>
      </c>
      <c r="C40" s="210">
        <f>SUM(C34:C39)</f>
        <v>124333.04999999993</v>
      </c>
      <c r="D40" s="196"/>
      <c r="E40" s="210">
        <f>SUM(E34:E39)</f>
        <v>37600</v>
      </c>
      <c r="F40" s="211"/>
      <c r="G40" s="210">
        <f>SUM(G34:G39)</f>
        <v>169658</v>
      </c>
      <c r="H40" s="190" t="s">
        <v>541</v>
      </c>
    </row>
    <row r="41" spans="1:20" ht="7.35" customHeight="1" thickBot="1" x14ac:dyDescent="0.25">
      <c r="C41" s="189"/>
    </row>
    <row r="42" spans="1:20" ht="15.75" thickBot="1" x14ac:dyDescent="0.25">
      <c r="H42" s="212" t="s">
        <v>76</v>
      </c>
      <c r="I42" s="213"/>
      <c r="J42" s="214"/>
    </row>
    <row r="43" spans="1:20" x14ac:dyDescent="0.2">
      <c r="C43" s="205"/>
      <c r="D43" s="216"/>
      <c r="E43" s="215"/>
      <c r="F43" s="215"/>
      <c r="H43" s="217" t="s">
        <v>77</v>
      </c>
      <c r="I43" s="218"/>
      <c r="J43" s="219">
        <f>C26</f>
        <v>124333.04999999993</v>
      </c>
    </row>
    <row r="44" spans="1:20" ht="15.75" thickBot="1" x14ac:dyDescent="0.25">
      <c r="H44" s="220" t="s">
        <v>78</v>
      </c>
      <c r="I44" s="221"/>
      <c r="J44" s="222">
        <f>C40</f>
        <v>124333.04999999993</v>
      </c>
    </row>
    <row r="45" spans="1:20" ht="15.75" thickBot="1" x14ac:dyDescent="0.25">
      <c r="H45" s="223" t="s">
        <v>79</v>
      </c>
      <c r="I45" s="224"/>
      <c r="J45" s="225">
        <f>ROUND((J43-J44),0)</f>
        <v>0</v>
      </c>
    </row>
    <row r="46" spans="1:20" x14ac:dyDescent="0.2">
      <c r="A46" s="297" t="s">
        <v>80</v>
      </c>
      <c r="B46" s="297"/>
      <c r="C46" s="297"/>
      <c r="D46" s="297"/>
      <c r="E46" s="297"/>
      <c r="F46" s="297"/>
      <c r="G46" s="297"/>
    </row>
  </sheetData>
  <sheetProtection algorithmName="SHA-512" hashValue="UfiZsV2Q6+UNmRnxRDfu4Y4bDbtx5T7B2FCFU95c/quMccjPZkp6nHzxJ+qIx0POGge+8ZhS5e+s4DVESDIn1g==" saltValue="KW4To4ylupb3vySUKmc44A==" spinCount="100000" sheet="1" formatColumns="0"/>
  <mergeCells count="3">
    <mergeCell ref="A5:G5"/>
    <mergeCell ref="A4:G4"/>
    <mergeCell ref="A46:G46"/>
  </mergeCells>
  <phoneticPr fontId="2" type="noConversion"/>
  <conditionalFormatting sqref="J45">
    <cfRule type="cellIs" dxfId="16" priority="6" operator="lessThan">
      <formula>0</formula>
    </cfRule>
    <cfRule type="cellIs" dxfId="15" priority="7" operator="greaterThan">
      <formula>0</formula>
    </cfRule>
    <cfRule type="cellIs" dxfId="14" priority="8" operator="equal">
      <formula>0</formula>
    </cfRule>
  </conditionalFormatting>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tabColor rgb="FFFF33CC"/>
  </sheetPr>
  <dimension ref="A1:I55"/>
  <sheetViews>
    <sheetView zoomScale="90" zoomScaleNormal="90" workbookViewId="0">
      <pane ySplit="9" topLeftCell="A10" activePane="bottomLeft" state="frozen"/>
      <selection pane="bottomLeft" activeCell="C47" sqref="C47"/>
    </sheetView>
  </sheetViews>
  <sheetFormatPr defaultColWidth="9.140625" defaultRowHeight="15" x14ac:dyDescent="0.2"/>
  <cols>
    <col min="1" max="1" width="8.42578125" style="179" customWidth="1"/>
    <col min="2" max="2" width="45.7109375" style="179" customWidth="1"/>
    <col min="3" max="3" width="10.42578125" style="179" customWidth="1"/>
    <col min="4" max="4" width="1.7109375" style="179" customWidth="1"/>
    <col min="5" max="5" width="10.42578125" style="179" customWidth="1"/>
    <col min="6" max="6" width="27.7109375" style="179" customWidth="1"/>
    <col min="7" max="16384" width="9.140625" style="179"/>
  </cols>
  <sheetData>
    <row r="1" spans="1:6" ht="12.75" customHeight="1" x14ac:dyDescent="0.2"/>
    <row r="2" spans="1:6" ht="12.75" customHeight="1" x14ac:dyDescent="0.2"/>
    <row r="3" spans="1:6" ht="12.75" customHeight="1" x14ac:dyDescent="0.2">
      <c r="F3" s="180" t="s">
        <v>0</v>
      </c>
    </row>
    <row r="4" spans="1:6" ht="21" x14ac:dyDescent="0.2">
      <c r="A4" s="183" t="str">
        <f>Basisoplysninger!C11 &amp; " LOKALFORENING " &amp; Basisoplysninger!C10</f>
        <v>BALLERUP LOKALFORENING 2025</v>
      </c>
      <c r="F4" s="182" t="s">
        <v>5</v>
      </c>
    </row>
    <row r="5" spans="1:6" ht="21.75" thickBot="1" x14ac:dyDescent="0.25">
      <c r="A5" s="226" t="s">
        <v>81</v>
      </c>
      <c r="B5" s="226"/>
      <c r="C5" s="226"/>
      <c r="D5" s="226"/>
      <c r="E5" s="226"/>
      <c r="F5" s="182" t="s">
        <v>82</v>
      </c>
    </row>
    <row r="6" spans="1:6" ht="7.5" customHeight="1" x14ac:dyDescent="0.2">
      <c r="A6" s="183"/>
      <c r="B6" s="183"/>
      <c r="C6" s="183"/>
      <c r="D6" s="183"/>
      <c r="E6" s="183"/>
    </row>
    <row r="7" spans="1:6" ht="15.75" customHeight="1" x14ac:dyDescent="0.2">
      <c r="B7" s="181"/>
      <c r="C7" s="185" t="s">
        <v>50</v>
      </c>
      <c r="E7" s="185" t="s">
        <v>50</v>
      </c>
    </row>
    <row r="8" spans="1:6" ht="18" x14ac:dyDescent="0.2">
      <c r="A8" s="186" t="s">
        <v>52</v>
      </c>
      <c r="C8" s="187">
        <f>+Basisoplysninger!C10</f>
        <v>2025</v>
      </c>
      <c r="E8" s="187">
        <f>+C8-1</f>
        <v>2024</v>
      </c>
      <c r="F8" s="182" t="s">
        <v>53</v>
      </c>
    </row>
    <row r="9" spans="1:6" ht="6.75" hidden="1" customHeight="1" x14ac:dyDescent="0.2">
      <c r="F9" s="182" t="s">
        <v>53</v>
      </c>
    </row>
    <row r="10" spans="1:6" ht="18" x14ac:dyDescent="0.2">
      <c r="A10" s="186"/>
      <c r="B10" s="186" t="s">
        <v>83</v>
      </c>
      <c r="F10" s="184"/>
    </row>
    <row r="11" spans="1:6" ht="7.5" customHeight="1" x14ac:dyDescent="0.2">
      <c r="B11" s="186"/>
    </row>
    <row r="12" spans="1:6" ht="15.75" customHeight="1" x14ac:dyDescent="0.2">
      <c r="B12" s="180" t="s">
        <v>499</v>
      </c>
      <c r="C12" s="189"/>
      <c r="D12" s="189"/>
      <c r="E12" s="189"/>
      <c r="F12" s="190" t="s">
        <v>55</v>
      </c>
    </row>
    <row r="13" spans="1:6" ht="15.75" customHeight="1" x14ac:dyDescent="0.2">
      <c r="B13" s="179" t="s">
        <v>84</v>
      </c>
      <c r="C13" s="189">
        <f>+'Faktisk &amp; Budget'!E124</f>
        <v>166667.28</v>
      </c>
      <c r="D13" s="189"/>
      <c r="E13" s="194">
        <v>63996.4</v>
      </c>
      <c r="F13" s="182" t="s">
        <v>57</v>
      </c>
    </row>
    <row r="14" spans="1:6" ht="15.75" customHeight="1" x14ac:dyDescent="0.2">
      <c r="B14" s="180" t="s">
        <v>85</v>
      </c>
      <c r="C14" s="227">
        <f>SUM(C13:C13)</f>
        <v>166667.28</v>
      </c>
      <c r="D14" s="215"/>
      <c r="E14" s="195">
        <f>SUM(E13:E13)</f>
        <v>63996.4</v>
      </c>
      <c r="F14" s="182" t="s">
        <v>63</v>
      </c>
    </row>
    <row r="15" spans="1:6" ht="7.5" customHeight="1" x14ac:dyDescent="0.2">
      <c r="B15" s="180"/>
      <c r="C15" s="215"/>
      <c r="D15" s="215"/>
      <c r="E15" s="211"/>
      <c r="F15" s="190"/>
    </row>
    <row r="16" spans="1:6" ht="15.75" customHeight="1" x14ac:dyDescent="0.2">
      <c r="B16" s="180" t="s">
        <v>500</v>
      </c>
      <c r="C16" s="189"/>
      <c r="D16" s="189"/>
      <c r="E16" s="189"/>
      <c r="F16" s="190"/>
    </row>
    <row r="17" spans="1:6" ht="15.75" customHeight="1" x14ac:dyDescent="0.2">
      <c r="B17" s="179" t="s">
        <v>86</v>
      </c>
      <c r="C17" s="189">
        <f>+'Faktisk &amp; Budget'!E129</f>
        <v>7398</v>
      </c>
      <c r="D17" s="189"/>
      <c r="E17" s="194">
        <v>6213.4</v>
      </c>
      <c r="F17" s="182" t="s">
        <v>87</v>
      </c>
    </row>
    <row r="18" spans="1:6" ht="15.75" customHeight="1" x14ac:dyDescent="0.2">
      <c r="B18" s="179" t="s">
        <v>88</v>
      </c>
      <c r="C18" s="189">
        <f>SUM('Faktisk &amp; Budget'!E130:E139)</f>
        <v>261247.63</v>
      </c>
      <c r="D18" s="189"/>
      <c r="E18" s="194">
        <v>385421</v>
      </c>
      <c r="F18" s="182" t="s">
        <v>87</v>
      </c>
    </row>
    <row r="19" spans="1:6" ht="15.75" customHeight="1" x14ac:dyDescent="0.2">
      <c r="A19" s="191"/>
      <c r="B19" s="179" t="s">
        <v>89</v>
      </c>
      <c r="C19" s="189">
        <f>+'Faktisk &amp; Budget'!E127</f>
        <v>0</v>
      </c>
      <c r="D19" s="189"/>
      <c r="E19" s="194"/>
      <c r="F19" s="182" t="s">
        <v>87</v>
      </c>
    </row>
    <row r="20" spans="1:6" ht="15.75" customHeight="1" x14ac:dyDescent="0.2">
      <c r="A20" s="191"/>
      <c r="B20" s="179" t="s">
        <v>90</v>
      </c>
      <c r="C20" s="208">
        <f>+'Faktisk &amp; Budget'!E128</f>
        <v>49997.5</v>
      </c>
      <c r="D20" s="189"/>
      <c r="E20" s="209"/>
      <c r="F20" s="182" t="s">
        <v>87</v>
      </c>
    </row>
    <row r="21" spans="1:6" ht="15.75" customHeight="1" x14ac:dyDescent="0.2">
      <c r="B21" s="180" t="s">
        <v>91</v>
      </c>
      <c r="C21" s="228">
        <f>SUM(C17:C20)</f>
        <v>318643.13</v>
      </c>
      <c r="D21" s="215"/>
      <c r="E21" s="228">
        <f>SUM(E17:E20)</f>
        <v>391634.4</v>
      </c>
      <c r="F21" s="182" t="s">
        <v>63</v>
      </c>
    </row>
    <row r="22" spans="1:6" ht="7.5" customHeight="1" x14ac:dyDescent="0.2">
      <c r="C22" s="189"/>
      <c r="D22" s="189"/>
      <c r="E22" s="189"/>
      <c r="F22" s="189"/>
    </row>
    <row r="23" spans="1:6" ht="18.75" thickBot="1" x14ac:dyDescent="0.25">
      <c r="B23" s="186" t="s">
        <v>92</v>
      </c>
      <c r="C23" s="229">
        <f>C21+C14</f>
        <v>485310.41000000003</v>
      </c>
      <c r="D23" s="215"/>
      <c r="E23" s="229">
        <f>E21+E14</f>
        <v>455630.80000000005</v>
      </c>
      <c r="F23" s="182" t="s">
        <v>63</v>
      </c>
    </row>
    <row r="24" spans="1:6" ht="9" customHeight="1" thickTop="1" x14ac:dyDescent="0.2">
      <c r="C24" s="189"/>
      <c r="D24" s="189"/>
      <c r="E24" s="189"/>
    </row>
    <row r="25" spans="1:6" ht="18" x14ac:dyDescent="0.2">
      <c r="B25" s="186" t="s">
        <v>93</v>
      </c>
      <c r="C25" s="189"/>
      <c r="D25" s="189"/>
      <c r="E25" s="189"/>
    </row>
    <row r="26" spans="1:6" ht="7.5" customHeight="1" x14ac:dyDescent="0.2">
      <c r="C26" s="189"/>
      <c r="D26" s="189"/>
      <c r="E26" s="189"/>
    </row>
    <row r="27" spans="1:6" ht="15.75" customHeight="1" x14ac:dyDescent="0.2">
      <c r="B27" s="180" t="s">
        <v>532</v>
      </c>
      <c r="C27" s="189"/>
      <c r="D27" s="189"/>
      <c r="E27" s="189"/>
      <c r="F27" s="189"/>
    </row>
    <row r="28" spans="1:6" ht="7.5" customHeight="1" x14ac:dyDescent="0.2">
      <c r="C28" s="189"/>
      <c r="D28" s="189"/>
      <c r="E28" s="189"/>
    </row>
    <row r="29" spans="1:6" ht="15.75" customHeight="1" x14ac:dyDescent="0.2">
      <c r="B29" s="180" t="s">
        <v>531</v>
      </c>
      <c r="C29" s="189"/>
      <c r="D29" s="189"/>
      <c r="E29" s="189"/>
      <c r="F29" s="189"/>
    </row>
    <row r="30" spans="1:6" ht="15.75" customHeight="1" x14ac:dyDescent="0.2">
      <c r="B30" s="179" t="s">
        <v>94</v>
      </c>
      <c r="C30" s="189">
        <f>-'Faktisk &amp; Budget'!E144+Resultat!C36+Resultat!C38</f>
        <v>273715.36</v>
      </c>
      <c r="D30" s="189"/>
      <c r="E30" s="194">
        <v>173721.4</v>
      </c>
      <c r="F30" s="182" t="s">
        <v>533</v>
      </c>
    </row>
    <row r="31" spans="1:6" ht="15.75" customHeight="1" x14ac:dyDescent="0.2">
      <c r="B31" s="179" t="s">
        <v>75</v>
      </c>
      <c r="C31" s="189">
        <f>Resultat!C39</f>
        <v>21909.04999999993</v>
      </c>
      <c r="D31" s="189"/>
      <c r="E31" s="194">
        <v>99994</v>
      </c>
      <c r="F31" s="190" t="s">
        <v>95</v>
      </c>
    </row>
    <row r="32" spans="1:6" ht="15.75" customHeight="1" x14ac:dyDescent="0.2">
      <c r="A32" s="191">
        <v>8</v>
      </c>
      <c r="B32" s="202" t="s">
        <v>96</v>
      </c>
      <c r="C32" s="189">
        <f>-'Noter balance'!C26</f>
        <v>0</v>
      </c>
      <c r="D32" s="189"/>
      <c r="E32" s="194"/>
      <c r="F32" s="182" t="s">
        <v>97</v>
      </c>
    </row>
    <row r="33" spans="1:9" ht="15.75" customHeight="1" x14ac:dyDescent="0.2">
      <c r="A33" s="191"/>
      <c r="B33" s="180" t="s">
        <v>528</v>
      </c>
      <c r="C33" s="227">
        <f>SUM(C30:C32)</f>
        <v>295624.40999999992</v>
      </c>
      <c r="D33" s="189"/>
      <c r="E33" s="227">
        <f>SUM(E30:E32)</f>
        <v>273715.40000000002</v>
      </c>
      <c r="F33" s="182" t="s">
        <v>63</v>
      </c>
    </row>
    <row r="34" spans="1:9" ht="6" customHeight="1" x14ac:dyDescent="0.2">
      <c r="C34" s="189"/>
      <c r="D34" s="189"/>
      <c r="E34" s="189"/>
    </row>
    <row r="35" spans="1:9" ht="15.75" customHeight="1" x14ac:dyDescent="0.2">
      <c r="A35" s="191"/>
      <c r="B35" s="180" t="s">
        <v>501</v>
      </c>
      <c r="C35" s="189"/>
      <c r="D35" s="189"/>
      <c r="E35" s="194"/>
      <c r="F35" s="182"/>
    </row>
    <row r="36" spans="1:9" ht="15.75" customHeight="1" x14ac:dyDescent="0.2">
      <c r="B36" s="179" t="s">
        <v>73</v>
      </c>
      <c r="C36" s="189">
        <f>+Resultat!C35-'Faktisk &amp; Budget'!E150</f>
        <v>0</v>
      </c>
      <c r="D36" s="189"/>
      <c r="E36" s="194">
        <v>0</v>
      </c>
      <c r="F36" s="182" t="s">
        <v>98</v>
      </c>
    </row>
    <row r="37" spans="1:9" ht="15.75" customHeight="1" x14ac:dyDescent="0.2">
      <c r="B37" s="179" t="s">
        <v>74</v>
      </c>
      <c r="C37" s="189">
        <f>+Resultat!C37-'Faktisk &amp; Budget'!E152</f>
        <v>0</v>
      </c>
      <c r="D37" s="189"/>
      <c r="E37" s="194">
        <v>0</v>
      </c>
      <c r="F37" s="182" t="s">
        <v>87</v>
      </c>
    </row>
    <row r="38" spans="1:9" ht="15.75" customHeight="1" x14ac:dyDescent="0.2">
      <c r="B38" s="180" t="s">
        <v>99</v>
      </c>
      <c r="C38" s="227">
        <f>SUM(C36:C37)</f>
        <v>0</v>
      </c>
      <c r="D38" s="215"/>
      <c r="E38" s="227">
        <f>SUM(E36:E37)</f>
        <v>0</v>
      </c>
      <c r="F38" s="182" t="s">
        <v>63</v>
      </c>
    </row>
    <row r="39" spans="1:9" ht="6" customHeight="1" x14ac:dyDescent="0.2">
      <c r="B39" s="180"/>
      <c r="C39" s="215"/>
      <c r="D39" s="215"/>
      <c r="E39" s="215"/>
      <c r="F39" s="190"/>
    </row>
    <row r="40" spans="1:9" ht="15.75" customHeight="1" x14ac:dyDescent="0.2">
      <c r="A40" s="191"/>
      <c r="B40" s="180" t="s">
        <v>529</v>
      </c>
      <c r="C40" s="195">
        <f>+C33+C38</f>
        <v>295624.40999999992</v>
      </c>
      <c r="D40" s="215"/>
      <c r="E40" s="195">
        <f>+E33+E38</f>
        <v>273715.40000000002</v>
      </c>
      <c r="F40" s="190"/>
      <c r="G40" s="190"/>
      <c r="H40" s="190"/>
      <c r="I40" s="190"/>
    </row>
    <row r="41" spans="1:9" ht="6" customHeight="1" x14ac:dyDescent="0.2">
      <c r="B41" s="180"/>
      <c r="C41" s="215"/>
      <c r="D41" s="215"/>
      <c r="E41" s="215"/>
      <c r="F41" s="190"/>
    </row>
    <row r="42" spans="1:9" ht="15.75" customHeight="1" x14ac:dyDescent="0.2">
      <c r="B42" s="180" t="s">
        <v>509</v>
      </c>
      <c r="C42" s="189"/>
      <c r="D42" s="189"/>
      <c r="E42" s="189"/>
      <c r="F42" s="190"/>
    </row>
    <row r="43" spans="1:9" ht="15.75" customHeight="1" x14ac:dyDescent="0.2">
      <c r="B43" s="179" t="s">
        <v>100</v>
      </c>
      <c r="C43" s="189">
        <f>-'Faktisk &amp; Budget'!E156</f>
        <v>0</v>
      </c>
      <c r="D43" s="189"/>
      <c r="E43" s="194">
        <v>0</v>
      </c>
      <c r="F43" s="182" t="s">
        <v>101</v>
      </c>
    </row>
    <row r="44" spans="1:9" ht="15.75" customHeight="1" x14ac:dyDescent="0.2">
      <c r="A44" s="191">
        <v>7</v>
      </c>
      <c r="B44" s="202" t="s">
        <v>71</v>
      </c>
      <c r="C44" s="189">
        <f>+'Noter balance'!C17</f>
        <v>102424</v>
      </c>
      <c r="D44" s="189"/>
      <c r="E44" s="194">
        <v>69664.399999999994</v>
      </c>
      <c r="F44" s="182" t="s">
        <v>102</v>
      </c>
    </row>
    <row r="45" spans="1:9" ht="15.75" customHeight="1" x14ac:dyDescent="0.2">
      <c r="A45" s="191">
        <v>8</v>
      </c>
      <c r="B45" s="202" t="s">
        <v>557</v>
      </c>
      <c r="C45" s="189">
        <f>'Noter balance'!C26</f>
        <v>0</v>
      </c>
      <c r="D45" s="189"/>
      <c r="E45" s="194">
        <v>0</v>
      </c>
      <c r="F45" s="182" t="s">
        <v>103</v>
      </c>
    </row>
    <row r="46" spans="1:9" ht="15.75" customHeight="1" x14ac:dyDescent="0.2">
      <c r="A46" s="191">
        <v>9</v>
      </c>
      <c r="B46" s="202" t="s">
        <v>104</v>
      </c>
      <c r="C46" s="189">
        <f>+'Noter balance'!C33</f>
        <v>64222.192999999999</v>
      </c>
      <c r="D46" s="189"/>
      <c r="E46" s="194">
        <v>88707</v>
      </c>
      <c r="F46" s="182" t="s">
        <v>105</v>
      </c>
    </row>
    <row r="47" spans="1:9" ht="15.75" customHeight="1" x14ac:dyDescent="0.2">
      <c r="A47" s="191">
        <v>10</v>
      </c>
      <c r="B47" s="202" t="s">
        <v>106</v>
      </c>
      <c r="C47" s="189">
        <f>'Noter balance'!C40</f>
        <v>17417.806999999997</v>
      </c>
      <c r="D47" s="189"/>
      <c r="E47" s="194">
        <v>17933</v>
      </c>
      <c r="F47" s="182" t="s">
        <v>107</v>
      </c>
    </row>
    <row r="48" spans="1:9" ht="15.75" customHeight="1" x14ac:dyDescent="0.2">
      <c r="A48" s="191"/>
      <c r="B48" s="179" t="s">
        <v>108</v>
      </c>
      <c r="C48" s="189">
        <f>-'Faktisk &amp; Budget'!E160</f>
        <v>0</v>
      </c>
      <c r="D48" s="189"/>
      <c r="E48" s="194">
        <v>0</v>
      </c>
      <c r="F48" s="182" t="s">
        <v>109</v>
      </c>
    </row>
    <row r="49" spans="1:8" ht="15.75" customHeight="1" x14ac:dyDescent="0.2">
      <c r="A49" s="191">
        <v>11</v>
      </c>
      <c r="B49" s="179" t="s">
        <v>110</v>
      </c>
      <c r="C49" s="189">
        <f>-'Faktisk &amp; Budget'!E161</f>
        <v>5622</v>
      </c>
      <c r="D49" s="189"/>
      <c r="E49" s="194">
        <v>5611</v>
      </c>
      <c r="F49" s="182" t="s">
        <v>111</v>
      </c>
    </row>
    <row r="50" spans="1:8" ht="15.75" customHeight="1" x14ac:dyDescent="0.2">
      <c r="A50" s="191"/>
      <c r="B50" s="179" t="s">
        <v>112</v>
      </c>
      <c r="C50" s="189">
        <f>-'Faktisk &amp; Budget'!E162</f>
        <v>0</v>
      </c>
      <c r="D50" s="189"/>
      <c r="E50" s="194">
        <v>0</v>
      </c>
      <c r="F50" s="182" t="s">
        <v>87</v>
      </c>
    </row>
    <row r="51" spans="1:8" ht="15.75" customHeight="1" x14ac:dyDescent="0.2">
      <c r="A51" s="191"/>
      <c r="B51" s="180" t="s">
        <v>113</v>
      </c>
      <c r="C51" s="195">
        <f>SUM(C43:C50)</f>
        <v>189686</v>
      </c>
      <c r="D51" s="215"/>
      <c r="E51" s="195">
        <f>SUM(E43:E50)</f>
        <v>181915.4</v>
      </c>
      <c r="F51" s="231" t="s">
        <v>114</v>
      </c>
      <c r="G51" s="221"/>
      <c r="H51" s="221"/>
    </row>
    <row r="52" spans="1:8" ht="7.5" customHeight="1" x14ac:dyDescent="0.2">
      <c r="C52" s="189"/>
      <c r="D52" s="189"/>
      <c r="E52" s="189"/>
      <c r="F52" s="221"/>
      <c r="G52" s="221"/>
      <c r="H52" s="221"/>
    </row>
    <row r="53" spans="1:8" ht="18.75" thickBot="1" x14ac:dyDescent="0.25">
      <c r="B53" s="186" t="s">
        <v>116</v>
      </c>
      <c r="C53" s="229">
        <f>+C40+C51</f>
        <v>485310.40999999992</v>
      </c>
      <c r="D53" s="215"/>
      <c r="E53" s="229">
        <f>+E40+E51</f>
        <v>455630.80000000005</v>
      </c>
      <c r="F53" s="221" t="s">
        <v>115</v>
      </c>
      <c r="G53" s="221"/>
      <c r="H53" s="232">
        <f>+C23</f>
        <v>485310.41000000003</v>
      </c>
    </row>
    <row r="54" spans="1:8" ht="15.6" customHeight="1" thickTop="1" x14ac:dyDescent="0.2">
      <c r="A54" s="298" t="s">
        <v>118</v>
      </c>
      <c r="B54" s="298"/>
      <c r="C54" s="298"/>
      <c r="D54" s="298"/>
      <c r="E54" s="298"/>
      <c r="F54" s="221" t="s">
        <v>117</v>
      </c>
      <c r="G54" s="221"/>
      <c r="H54" s="232">
        <f>+C53</f>
        <v>485310.40999999992</v>
      </c>
    </row>
    <row r="55" spans="1:8" x14ac:dyDescent="0.2">
      <c r="F55" s="231" t="s">
        <v>79</v>
      </c>
      <c r="G55" s="221"/>
      <c r="H55" s="233">
        <f>ROUND((H53-H54),0)</f>
        <v>0</v>
      </c>
    </row>
  </sheetData>
  <sheetProtection algorithmName="SHA-512" hashValue="WjoeM50ezBFnCxrktb9NZVF+SwUeimc+uvV/nROky2B4LjuJz/+fAGhGSGeGohu9/aKboU/fnCZV8ggz9+b9NQ==" saltValue="5KYoJi9w6JKtz4XFEPPEwg==" spinCount="100000" sheet="1" objects="1" scenarios="1"/>
  <mergeCells count="1">
    <mergeCell ref="A54:E54"/>
  </mergeCells>
  <conditionalFormatting sqref="H55">
    <cfRule type="cellIs" dxfId="13" priority="1" operator="lessThan">
      <formula>0</formula>
    </cfRule>
    <cfRule type="cellIs" dxfId="12" priority="2" operator="greaterThan">
      <formula>0</formula>
    </cfRule>
    <cfRule type="cellIs" dxfId="11" priority="5" operator="equal">
      <formula>0</formula>
    </cfRule>
  </conditionalFormatting>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tabColor rgb="FFFF33CC"/>
  </sheetPr>
  <dimension ref="A3:K142"/>
  <sheetViews>
    <sheetView zoomScaleNormal="100" zoomScaleSheetLayoutView="85" workbookViewId="0">
      <pane ySplit="8" topLeftCell="A9" activePane="bottomLeft" state="frozen"/>
      <selection pane="bottomLeft" activeCell="D85" sqref="D85"/>
    </sheetView>
  </sheetViews>
  <sheetFormatPr defaultColWidth="9.28515625" defaultRowHeight="15" x14ac:dyDescent="0.2"/>
  <cols>
    <col min="1" max="1" width="5" style="179" customWidth="1"/>
    <col min="2" max="2" width="11.42578125" style="179" customWidth="1"/>
    <col min="3" max="3" width="35.42578125" style="179" customWidth="1"/>
    <col min="4" max="4" width="10.7109375" style="179" customWidth="1"/>
    <col min="5" max="5" width="1" style="179" customWidth="1"/>
    <col min="6" max="6" width="10.7109375" style="179" customWidth="1"/>
    <col min="7" max="7" width="1" style="179" customWidth="1"/>
    <col min="8" max="8" width="10.7109375" style="179" customWidth="1"/>
    <col min="9" max="9" width="25.7109375" style="179" customWidth="1"/>
    <col min="10" max="10" width="18.42578125" style="179" customWidth="1"/>
    <col min="11" max="15" width="17.85546875" style="179" customWidth="1"/>
    <col min="16" max="16384" width="9.28515625" style="179"/>
  </cols>
  <sheetData>
    <row r="3" spans="1:11" x14ac:dyDescent="0.2">
      <c r="I3" s="180" t="s">
        <v>0</v>
      </c>
    </row>
    <row r="4" spans="1:11" ht="21" x14ac:dyDescent="0.2">
      <c r="A4" s="183" t="str">
        <f>Basisoplysninger!C11 &amp; " LOKALFORENING " &amp; Basisoplysninger!C10</f>
        <v>BALLERUP LOKALFORENING 2025</v>
      </c>
      <c r="B4" s="183"/>
      <c r="C4" s="183"/>
      <c r="D4" s="183"/>
      <c r="E4" s="183"/>
      <c r="F4" s="183"/>
      <c r="G4" s="183"/>
      <c r="H4" s="183"/>
      <c r="I4" s="182" t="s">
        <v>119</v>
      </c>
    </row>
    <row r="5" spans="1:11" ht="21.75" thickBot="1" x14ac:dyDescent="0.25">
      <c r="A5" s="226" t="s">
        <v>120</v>
      </c>
      <c r="B5" s="226"/>
      <c r="C5" s="226"/>
      <c r="D5" s="226"/>
      <c r="E5" s="226"/>
      <c r="F5" s="226"/>
      <c r="G5" s="226"/>
      <c r="H5" s="226"/>
      <c r="J5" s="183"/>
    </row>
    <row r="6" spans="1:11" x14ac:dyDescent="0.2">
      <c r="H6" s="234"/>
    </row>
    <row r="7" spans="1:11" ht="18" customHeight="1" x14ac:dyDescent="0.2">
      <c r="A7" s="186"/>
      <c r="B7" s="186"/>
      <c r="C7" s="235"/>
      <c r="D7" s="185" t="s">
        <v>50</v>
      </c>
      <c r="E7" s="185"/>
      <c r="F7" s="185" t="s">
        <v>51</v>
      </c>
      <c r="G7" s="185"/>
      <c r="H7" s="185" t="s">
        <v>50</v>
      </c>
      <c r="I7" s="190" t="s">
        <v>55</v>
      </c>
      <c r="J7" s="236"/>
      <c r="K7" s="236"/>
    </row>
    <row r="8" spans="1:11" ht="20.25" customHeight="1" x14ac:dyDescent="0.2">
      <c r="A8" s="186" t="s">
        <v>52</v>
      </c>
      <c r="B8" s="186"/>
      <c r="C8" s="235"/>
      <c r="D8" s="188">
        <f>+Basisoplysninger!C10</f>
        <v>2025</v>
      </c>
      <c r="E8" s="188"/>
      <c r="F8" s="188">
        <f>+D8</f>
        <v>2025</v>
      </c>
      <c r="G8" s="188"/>
      <c r="H8" s="188">
        <f>+F8-1</f>
        <v>2024</v>
      </c>
      <c r="I8" s="182" t="s">
        <v>57</v>
      </c>
      <c r="J8" s="236"/>
      <c r="K8" s="236"/>
    </row>
    <row r="9" spans="1:11" ht="13.5" customHeight="1" x14ac:dyDescent="0.2">
      <c r="B9" s="186"/>
      <c r="D9" s="180"/>
      <c r="E9" s="180"/>
      <c r="F9" s="180"/>
      <c r="G9" s="180"/>
      <c r="H9" s="180"/>
      <c r="J9" s="236"/>
      <c r="K9" s="236"/>
    </row>
    <row r="10" spans="1:11" ht="18" x14ac:dyDescent="0.2">
      <c r="A10" s="188">
        <v>1</v>
      </c>
      <c r="B10" s="186" t="s">
        <v>462</v>
      </c>
      <c r="I10" s="236"/>
      <c r="J10" s="236"/>
      <c r="K10" s="236"/>
    </row>
    <row r="11" spans="1:11" ht="6.75" customHeight="1" x14ac:dyDescent="0.2">
      <c r="H11" s="189"/>
    </row>
    <row r="12" spans="1:11" ht="18" x14ac:dyDescent="0.2">
      <c r="A12" s="188"/>
      <c r="B12" s="186" t="s">
        <v>54</v>
      </c>
      <c r="I12" s="189"/>
    </row>
    <row r="13" spans="1:11" ht="6.75" customHeight="1" x14ac:dyDescent="0.2">
      <c r="H13" s="189"/>
    </row>
    <row r="14" spans="1:11" ht="15.75" customHeight="1" x14ac:dyDescent="0.2">
      <c r="B14" s="179" t="s">
        <v>122</v>
      </c>
      <c r="D14" s="189">
        <f>-'Faktisk &amp; Budget'!E10</f>
        <v>805274.97</v>
      </c>
      <c r="E14" s="189"/>
      <c r="F14" s="189">
        <f>-'Faktisk &amp; Budget'!G10</f>
        <v>625000</v>
      </c>
      <c r="G14" s="189"/>
      <c r="H14" s="194">
        <v>693095</v>
      </c>
      <c r="I14" s="237" t="s">
        <v>123</v>
      </c>
    </row>
    <row r="15" spans="1:11" ht="15.75" customHeight="1" x14ac:dyDescent="0.2">
      <c r="B15" s="179" t="s">
        <v>124</v>
      </c>
      <c r="D15" s="189">
        <f>-'Faktisk &amp; Budget'!E11</f>
        <v>-162.29</v>
      </c>
      <c r="E15" s="189"/>
      <c r="F15" s="189">
        <f>-'Faktisk &amp; Budget'!G11</f>
        <v>0</v>
      </c>
      <c r="G15" s="189"/>
      <c r="H15" s="194">
        <v>0</v>
      </c>
      <c r="I15" s="237" t="s">
        <v>123</v>
      </c>
    </row>
    <row r="16" spans="1:11" ht="15.75" customHeight="1" x14ac:dyDescent="0.2">
      <c r="B16" s="179" t="s">
        <v>125</v>
      </c>
      <c r="D16" s="189">
        <f>-'Faktisk &amp; Budget'!E12</f>
        <v>0</v>
      </c>
      <c r="E16" s="189"/>
      <c r="F16" s="189">
        <f>-'Faktisk &amp; Budget'!G12</f>
        <v>0</v>
      </c>
      <c r="G16" s="189"/>
      <c r="H16" s="194">
        <v>0</v>
      </c>
      <c r="I16" s="237" t="s">
        <v>123</v>
      </c>
    </row>
    <row r="17" spans="1:11" ht="15.75" customHeight="1" x14ac:dyDescent="0.2">
      <c r="B17" s="179" t="s">
        <v>126</v>
      </c>
      <c r="D17" s="189">
        <f>-'Faktisk &amp; Budget'!E13-'Faktisk &amp; Budget'!E14-'Faktisk &amp; Budget'!E15</f>
        <v>0</v>
      </c>
      <c r="E17" s="189"/>
      <c r="F17" s="189">
        <f>-'Faktisk &amp; Budget'!G13-'Faktisk &amp; Budget'!G14-'Faktisk &amp; Budget'!G15</f>
        <v>-500</v>
      </c>
      <c r="G17" s="189"/>
      <c r="H17" s="194">
        <v>-856</v>
      </c>
      <c r="I17" s="237" t="s">
        <v>123</v>
      </c>
    </row>
    <row r="18" spans="1:11" ht="15.75" customHeight="1" x14ac:dyDescent="0.2">
      <c r="B18" s="186" t="s">
        <v>62</v>
      </c>
      <c r="D18" s="198">
        <f>SUM(D14:D17)</f>
        <v>805112.67999999993</v>
      </c>
      <c r="E18" s="189"/>
      <c r="F18" s="198">
        <f>SUM(F14:F17)</f>
        <v>624500</v>
      </c>
      <c r="G18" s="189"/>
      <c r="H18" s="227">
        <f>SUM(H14:H17)</f>
        <v>692239</v>
      </c>
      <c r="I18" s="182" t="s">
        <v>63</v>
      </c>
    </row>
    <row r="19" spans="1:11" x14ac:dyDescent="0.2">
      <c r="I19" s="189"/>
    </row>
    <row r="20" spans="1:11" ht="18" x14ac:dyDescent="0.2">
      <c r="A20" s="188"/>
      <c r="B20" s="186" t="s">
        <v>508</v>
      </c>
      <c r="I20" s="189"/>
    </row>
    <row r="21" spans="1:11" ht="6.75" customHeight="1" x14ac:dyDescent="0.2">
      <c r="H21" s="189"/>
    </row>
    <row r="22" spans="1:11" ht="15.75" customHeight="1" x14ac:dyDescent="0.2">
      <c r="A22" s="191"/>
      <c r="B22" s="179" t="s">
        <v>128</v>
      </c>
      <c r="D22" s="238">
        <f>+'Faktisk &amp; Budget'!E41</f>
        <v>0</v>
      </c>
      <c r="E22" s="238"/>
      <c r="F22" s="238">
        <f>+'Faktisk &amp; Budget'!G41</f>
        <v>8000</v>
      </c>
      <c r="G22" s="238"/>
      <c r="H22" s="194">
        <v>420</v>
      </c>
      <c r="I22" s="237" t="s">
        <v>123</v>
      </c>
      <c r="J22" s="236"/>
      <c r="K22" s="236"/>
    </row>
    <row r="23" spans="1:11" ht="15.75" customHeight="1" x14ac:dyDescent="0.2">
      <c r="A23" s="191"/>
      <c r="B23" s="179" t="s">
        <v>129</v>
      </c>
      <c r="D23" s="238">
        <f>+'Faktisk &amp; Budget'!E42</f>
        <v>17767.990000000002</v>
      </c>
      <c r="E23" s="238"/>
      <c r="F23" s="238">
        <f>+'Faktisk &amp; Budget'!G42</f>
        <v>8000</v>
      </c>
      <c r="G23" s="238"/>
      <c r="H23" s="194">
        <v>8759</v>
      </c>
      <c r="I23" s="237" t="s">
        <v>123</v>
      </c>
      <c r="J23" s="236"/>
      <c r="K23" s="236"/>
    </row>
    <row r="24" spans="1:11" ht="15.75" customHeight="1" x14ac:dyDescent="0.2">
      <c r="A24" s="191"/>
      <c r="B24" s="179" t="s">
        <v>130</v>
      </c>
      <c r="D24" s="238">
        <f>+'Faktisk &amp; Budget'!E43</f>
        <v>99160.13</v>
      </c>
      <c r="E24" s="238"/>
      <c r="F24" s="238">
        <f>+'Faktisk &amp; Budget'!G43</f>
        <v>35000</v>
      </c>
      <c r="G24" s="238"/>
      <c r="H24" s="194">
        <v>20927</v>
      </c>
      <c r="I24" s="237" t="s">
        <v>123</v>
      </c>
      <c r="J24" s="236"/>
      <c r="K24" s="236"/>
    </row>
    <row r="25" spans="1:11" ht="15.75" customHeight="1" x14ac:dyDescent="0.2">
      <c r="A25" s="191"/>
      <c r="B25" s="179" t="s">
        <v>131</v>
      </c>
      <c r="D25" s="238">
        <f>+'Faktisk &amp; Budget'!E44</f>
        <v>351489.48</v>
      </c>
      <c r="E25" s="238"/>
      <c r="F25" s="238">
        <f>+'Faktisk &amp; Budget'!G44</f>
        <v>328000</v>
      </c>
      <c r="G25" s="238"/>
      <c r="H25" s="194">
        <v>276904</v>
      </c>
      <c r="I25" s="237" t="s">
        <v>123</v>
      </c>
      <c r="J25" s="236"/>
      <c r="K25" s="236"/>
    </row>
    <row r="26" spans="1:11" ht="15.75" customHeight="1" x14ac:dyDescent="0.2">
      <c r="A26" s="191"/>
      <c r="B26" s="179" t="s">
        <v>132</v>
      </c>
      <c r="D26" s="238">
        <f>+'Faktisk &amp; Budget'!E45</f>
        <v>9940.86</v>
      </c>
      <c r="E26" s="238"/>
      <c r="F26" s="238">
        <f>+'Faktisk &amp; Budget'!G45</f>
        <v>30000</v>
      </c>
      <c r="G26" s="238"/>
      <c r="H26" s="194">
        <v>9009</v>
      </c>
      <c r="I26" s="237" t="s">
        <v>123</v>
      </c>
      <c r="J26" s="236"/>
      <c r="K26" s="236"/>
    </row>
    <row r="27" spans="1:11" ht="15.75" customHeight="1" x14ac:dyDescent="0.2">
      <c r="A27" s="191"/>
      <c r="B27" s="179" t="s">
        <v>133</v>
      </c>
      <c r="D27" s="238">
        <f>+'Faktisk &amp; Budget'!E46</f>
        <v>0</v>
      </c>
      <c r="E27" s="238"/>
      <c r="F27" s="238">
        <f>+'Faktisk &amp; Budget'!G46</f>
        <v>0</v>
      </c>
      <c r="G27" s="238"/>
      <c r="H27" s="194">
        <v>0</v>
      </c>
      <c r="I27" s="237" t="s">
        <v>123</v>
      </c>
      <c r="J27" s="236"/>
      <c r="K27" s="236"/>
    </row>
    <row r="28" spans="1:11" ht="15.75" customHeight="1" x14ac:dyDescent="0.2">
      <c r="A28" s="191"/>
      <c r="B28" s="179" t="s">
        <v>134</v>
      </c>
      <c r="D28" s="238">
        <f>+'Faktisk &amp; Budget'!E47</f>
        <v>0</v>
      </c>
      <c r="E28" s="238"/>
      <c r="F28" s="238">
        <f>+'Faktisk &amp; Budget'!G47</f>
        <v>0</v>
      </c>
      <c r="G28" s="238"/>
      <c r="H28" s="194">
        <v>0</v>
      </c>
      <c r="I28" s="237" t="s">
        <v>123</v>
      </c>
      <c r="J28" s="236"/>
      <c r="K28" s="236"/>
    </row>
    <row r="29" spans="1:11" ht="15.75" customHeight="1" x14ac:dyDescent="0.2">
      <c r="A29" s="191"/>
      <c r="B29" s="179" t="s">
        <v>135</v>
      </c>
      <c r="D29" s="238">
        <f>+'Faktisk &amp; Budget'!E48</f>
        <v>10771.62</v>
      </c>
      <c r="E29" s="238"/>
      <c r="F29" s="238">
        <f>+'Faktisk &amp; Budget'!G48</f>
        <v>13000</v>
      </c>
      <c r="G29" s="238"/>
      <c r="H29" s="194">
        <v>6382</v>
      </c>
      <c r="I29" s="237" t="s">
        <v>123</v>
      </c>
      <c r="J29" s="236"/>
      <c r="K29" s="236"/>
    </row>
    <row r="30" spans="1:11" ht="15.75" customHeight="1" x14ac:dyDescent="0.2">
      <c r="A30" s="191"/>
      <c r="B30" s="179" t="s">
        <v>136</v>
      </c>
      <c r="D30" s="238">
        <f>+'Faktisk &amp; Budget'!E49</f>
        <v>2500</v>
      </c>
      <c r="E30" s="238"/>
      <c r="F30" s="238">
        <f>+'Faktisk &amp; Budget'!G49</f>
        <v>2500</v>
      </c>
      <c r="G30" s="238"/>
      <c r="H30" s="194">
        <v>0</v>
      </c>
      <c r="I30" s="237" t="s">
        <v>123</v>
      </c>
      <c r="J30" s="236"/>
      <c r="K30" s="236"/>
    </row>
    <row r="31" spans="1:11" ht="15.75" customHeight="1" x14ac:dyDescent="0.2">
      <c r="A31" s="191"/>
      <c r="B31" s="179" t="s">
        <v>137</v>
      </c>
      <c r="D31" s="238">
        <f>+'Faktisk &amp; Budget'!E50</f>
        <v>768.86</v>
      </c>
      <c r="E31" s="238"/>
      <c r="F31" s="238">
        <f>+'Faktisk &amp; Budget'!G50</f>
        <v>5000</v>
      </c>
      <c r="G31" s="238"/>
      <c r="H31" s="194">
        <v>392</v>
      </c>
      <c r="I31" s="237" t="s">
        <v>123</v>
      </c>
      <c r="J31" s="236"/>
      <c r="K31" s="236"/>
    </row>
    <row r="32" spans="1:11" ht="15.75" customHeight="1" x14ac:dyDescent="0.2">
      <c r="A32" s="191"/>
      <c r="B32" s="179" t="s">
        <v>558</v>
      </c>
      <c r="D32" s="238">
        <f>+'Faktisk &amp; Budget'!E51</f>
        <v>15091.39</v>
      </c>
      <c r="E32" s="238"/>
      <c r="F32" s="238">
        <f>+'Faktisk &amp; Budget'!G51</f>
        <v>15000</v>
      </c>
      <c r="G32" s="238"/>
      <c r="H32" s="194">
        <v>10489</v>
      </c>
      <c r="I32" s="237" t="s">
        <v>123</v>
      </c>
      <c r="J32" s="236"/>
      <c r="K32" s="236"/>
    </row>
    <row r="33" spans="1:11" ht="15.75" customHeight="1" x14ac:dyDescent="0.2">
      <c r="A33" s="191"/>
      <c r="B33" s="179" t="s">
        <v>138</v>
      </c>
      <c r="D33" s="238">
        <f>+'Faktisk &amp; Budget'!E52</f>
        <v>12513.96</v>
      </c>
      <c r="E33" s="238"/>
      <c r="F33" s="238">
        <f>+'Faktisk &amp; Budget'!G52</f>
        <v>12000</v>
      </c>
      <c r="G33" s="238"/>
      <c r="H33" s="194">
        <v>9943</v>
      </c>
      <c r="I33" s="237" t="s">
        <v>123</v>
      </c>
      <c r="J33" s="236"/>
      <c r="K33" s="236"/>
    </row>
    <row r="34" spans="1:11" ht="15.75" customHeight="1" x14ac:dyDescent="0.2">
      <c r="A34" s="191"/>
      <c r="B34" s="179" t="s">
        <v>139</v>
      </c>
      <c r="D34" s="238">
        <f>+'Faktisk &amp; Budget'!E53</f>
        <v>2547.8000000000002</v>
      </c>
      <c r="E34" s="238"/>
      <c r="F34" s="238">
        <f>+'Faktisk &amp; Budget'!G53</f>
        <v>4000</v>
      </c>
      <c r="G34" s="238"/>
      <c r="H34" s="194">
        <v>4327</v>
      </c>
      <c r="I34" s="237" t="s">
        <v>123</v>
      </c>
      <c r="J34" s="236"/>
      <c r="K34" s="236"/>
    </row>
    <row r="35" spans="1:11" ht="15.75" customHeight="1" x14ac:dyDescent="0.2">
      <c r="A35" s="191"/>
      <c r="B35" s="179" t="s">
        <v>524</v>
      </c>
      <c r="D35" s="238">
        <f>+'Faktisk &amp; Budget'!E54</f>
        <v>0</v>
      </c>
      <c r="E35" s="238"/>
      <c r="F35" s="238">
        <f>+'Faktisk &amp; Budget'!G54</f>
        <v>0</v>
      </c>
      <c r="G35" s="238"/>
      <c r="H35" s="194">
        <v>0</v>
      </c>
      <c r="I35" s="237" t="s">
        <v>123</v>
      </c>
      <c r="J35" s="236"/>
      <c r="K35" s="236"/>
    </row>
    <row r="36" spans="1:11" ht="15.75" customHeight="1" x14ac:dyDescent="0.2">
      <c r="A36" s="191"/>
      <c r="B36" s="179" t="s">
        <v>140</v>
      </c>
      <c r="D36" s="238">
        <f>+'Faktisk &amp; Budget'!E55</f>
        <v>16540.849999999999</v>
      </c>
      <c r="E36" s="238"/>
      <c r="F36" s="238">
        <f>+'Faktisk &amp; Budget'!G55</f>
        <v>25000</v>
      </c>
      <c r="G36" s="238"/>
      <c r="H36" s="194">
        <v>135215.4</v>
      </c>
      <c r="I36" s="237" t="s">
        <v>123</v>
      </c>
      <c r="J36" s="236"/>
      <c r="K36" s="236"/>
    </row>
    <row r="37" spans="1:11" ht="15.75" customHeight="1" x14ac:dyDescent="0.2">
      <c r="A37" s="191"/>
      <c r="B37" s="179" t="s">
        <v>141</v>
      </c>
      <c r="D37" s="238">
        <f>+'Faktisk &amp; Budget'!E56</f>
        <v>14642.16</v>
      </c>
      <c r="E37" s="189"/>
      <c r="F37" s="238">
        <f>+'Faktisk &amp; Budget'!G56</f>
        <v>20000</v>
      </c>
      <c r="G37" s="189"/>
      <c r="H37" s="194">
        <v>30142.400000000001</v>
      </c>
      <c r="I37" s="237" t="s">
        <v>123</v>
      </c>
      <c r="J37" s="236"/>
      <c r="K37" s="236"/>
    </row>
    <row r="38" spans="1:11" ht="15.75" customHeight="1" x14ac:dyDescent="0.25">
      <c r="A38" s="191"/>
      <c r="B38" s="278" t="s">
        <v>554</v>
      </c>
      <c r="D38" s="238">
        <f>+'Faktisk &amp; Budget'!E57</f>
        <v>6529.51</v>
      </c>
      <c r="E38" s="189"/>
      <c r="F38" s="238">
        <f>+'Faktisk &amp; Budget'!G57</f>
        <v>0</v>
      </c>
      <c r="G38" s="189"/>
      <c r="H38" s="194">
        <v>0</v>
      </c>
      <c r="I38" s="237" t="s">
        <v>123</v>
      </c>
      <c r="J38" s="236"/>
      <c r="K38" s="236"/>
    </row>
    <row r="39" spans="1:11" ht="15.75" customHeight="1" x14ac:dyDescent="0.2">
      <c r="A39" s="191"/>
      <c r="B39" s="179" t="s">
        <v>142</v>
      </c>
      <c r="D39" s="238">
        <f>+'Faktisk &amp; Budget'!E58</f>
        <v>0</v>
      </c>
      <c r="E39" s="189"/>
      <c r="F39" s="238">
        <f>+'Faktisk &amp; Budget'!G58</f>
        <v>0</v>
      </c>
      <c r="G39" s="189"/>
      <c r="H39" s="194">
        <v>0</v>
      </c>
      <c r="I39" s="237" t="s">
        <v>123</v>
      </c>
      <c r="J39" s="236"/>
      <c r="K39" s="236"/>
    </row>
    <row r="40" spans="1:11" ht="15.75" customHeight="1" x14ac:dyDescent="0.2">
      <c r="B40" s="186" t="s">
        <v>69</v>
      </c>
      <c r="D40" s="198">
        <f>SUM(D22:D39)</f>
        <v>560264.61</v>
      </c>
      <c r="E40" s="189"/>
      <c r="F40" s="198">
        <f>SUM(F22:F39)</f>
        <v>505500</v>
      </c>
      <c r="G40" s="189"/>
      <c r="H40" s="227">
        <f>SUM(H22:H39)</f>
        <v>512909.80000000005</v>
      </c>
      <c r="I40" s="182" t="s">
        <v>63</v>
      </c>
    </row>
    <row r="41" spans="1:11" x14ac:dyDescent="0.2">
      <c r="I41" s="189"/>
    </row>
    <row r="42" spans="1:11" ht="18" x14ac:dyDescent="0.2">
      <c r="B42" s="186" t="s">
        <v>143</v>
      </c>
      <c r="D42" s="239">
        <f>+D18-D40</f>
        <v>244848.06999999995</v>
      </c>
      <c r="E42" s="189"/>
      <c r="F42" s="239">
        <f>+F18-F40</f>
        <v>119000</v>
      </c>
      <c r="H42" s="239">
        <f>+H18-H40</f>
        <v>179329.19999999995</v>
      </c>
      <c r="I42" s="237" t="s">
        <v>123</v>
      </c>
    </row>
    <row r="43" spans="1:11" x14ac:dyDescent="0.2">
      <c r="I43" s="189"/>
    </row>
    <row r="44" spans="1:11" ht="15.75" customHeight="1" x14ac:dyDescent="0.2">
      <c r="A44" s="191"/>
      <c r="B44" s="299" t="s">
        <v>574</v>
      </c>
      <c r="C44" s="299"/>
      <c r="D44" s="240">
        <f>+Hjælpeberegner!B16</f>
        <v>102424</v>
      </c>
      <c r="E44" s="241"/>
      <c r="F44" s="240">
        <f>IF(Hjælpeberegner!B10="JA",0,(IF(F42&gt;40000,(F42-40000)*50%,0)))</f>
        <v>39500</v>
      </c>
      <c r="G44" s="242"/>
      <c r="H44" s="277">
        <v>69664</v>
      </c>
      <c r="I44" s="237" t="s">
        <v>123</v>
      </c>
    </row>
    <row r="45" spans="1:11" ht="15.75" customHeight="1" x14ac:dyDescent="0.2">
      <c r="A45" s="191"/>
      <c r="B45" s="186" t="s">
        <v>144</v>
      </c>
      <c r="D45" s="239">
        <f>+D42-D44</f>
        <v>142424.06999999995</v>
      </c>
      <c r="E45" s="189"/>
      <c r="F45" s="239">
        <f>+F42-F44</f>
        <v>79500</v>
      </c>
      <c r="G45" s="189"/>
      <c r="H45" s="239">
        <f>+H42-H44</f>
        <v>109665.19999999995</v>
      </c>
      <c r="I45" s="237" t="s">
        <v>123</v>
      </c>
    </row>
    <row r="46" spans="1:11" ht="18" x14ac:dyDescent="0.2">
      <c r="A46" s="191"/>
      <c r="B46" s="186"/>
      <c r="D46" s="243"/>
      <c r="E46" s="189"/>
      <c r="F46" s="243"/>
      <c r="G46" s="189"/>
      <c r="H46" s="215"/>
      <c r="I46" s="237"/>
    </row>
    <row r="47" spans="1:11" ht="18" x14ac:dyDescent="0.2">
      <c r="A47" s="191"/>
      <c r="B47" s="186"/>
      <c r="D47" s="243"/>
      <c r="E47" s="189"/>
      <c r="F47" s="243"/>
      <c r="G47" s="189"/>
      <c r="H47" s="215"/>
      <c r="I47" s="237"/>
    </row>
    <row r="48" spans="1:11" ht="18" x14ac:dyDescent="0.2">
      <c r="A48" s="191"/>
      <c r="B48" s="186"/>
      <c r="D48" s="243"/>
      <c r="E48" s="189"/>
      <c r="F48" s="243"/>
      <c r="G48" s="189"/>
      <c r="H48" s="215"/>
      <c r="I48" s="237"/>
    </row>
    <row r="49" spans="1:11" ht="18" x14ac:dyDescent="0.2">
      <c r="A49" s="191"/>
      <c r="B49" s="186"/>
      <c r="D49" s="243"/>
      <c r="E49" s="189"/>
      <c r="F49" s="243"/>
      <c r="G49" s="189"/>
      <c r="H49" s="215"/>
      <c r="I49" s="237"/>
    </row>
    <row r="50" spans="1:11" ht="18" x14ac:dyDescent="0.2">
      <c r="A50" s="191"/>
      <c r="B50" s="186"/>
      <c r="D50" s="243"/>
      <c r="E50" s="189"/>
      <c r="F50" s="243"/>
      <c r="G50" s="189"/>
      <c r="H50" s="215"/>
      <c r="I50" s="237"/>
    </row>
    <row r="51" spans="1:11" ht="18" x14ac:dyDescent="0.2">
      <c r="A51" s="191"/>
      <c r="B51" s="186"/>
      <c r="D51" s="243"/>
      <c r="E51" s="189"/>
      <c r="F51" s="243"/>
      <c r="G51" s="189"/>
      <c r="H51" s="215"/>
      <c r="I51" s="237"/>
    </row>
    <row r="52" spans="1:11" x14ac:dyDescent="0.2">
      <c r="A52" s="191"/>
      <c r="D52" s="243"/>
      <c r="E52" s="189"/>
      <c r="F52" s="243"/>
      <c r="G52" s="189"/>
      <c r="H52" s="215"/>
      <c r="I52" s="237"/>
    </row>
    <row r="53" spans="1:11" x14ac:dyDescent="0.2">
      <c r="A53" s="298" t="s">
        <v>145</v>
      </c>
      <c r="B53" s="298"/>
      <c r="C53" s="298"/>
      <c r="D53" s="298"/>
      <c r="E53" s="298"/>
      <c r="F53" s="298"/>
      <c r="G53" s="298"/>
      <c r="H53" s="298"/>
    </row>
    <row r="54" spans="1:11" ht="18" x14ac:dyDescent="0.2">
      <c r="A54" s="188">
        <v>2</v>
      </c>
      <c r="B54" s="186" t="s">
        <v>146</v>
      </c>
      <c r="H54" s="189"/>
      <c r="I54" s="182"/>
      <c r="J54" s="182"/>
    </row>
    <row r="55" spans="1:11" ht="6.75" customHeight="1" x14ac:dyDescent="0.2">
      <c r="A55" s="185"/>
      <c r="H55" s="189"/>
      <c r="I55" s="182"/>
      <c r="J55" s="182"/>
    </row>
    <row r="56" spans="1:11" ht="15.75" customHeight="1" x14ac:dyDescent="0.2">
      <c r="A56" s="191"/>
      <c r="B56" s="179" t="s">
        <v>147</v>
      </c>
      <c r="D56" s="189">
        <f>-'Faktisk &amp; Budget'!E21</f>
        <v>2582.5</v>
      </c>
      <c r="E56" s="189"/>
      <c r="F56" s="189">
        <f>-'Faktisk &amp; Budget'!G21</f>
        <v>2000</v>
      </c>
      <c r="G56" s="189"/>
      <c r="H56" s="194">
        <v>5480</v>
      </c>
      <c r="I56" s="237" t="s">
        <v>123</v>
      </c>
      <c r="J56" s="190"/>
      <c r="K56" s="190"/>
    </row>
    <row r="57" spans="1:11" ht="15.75" customHeight="1" x14ac:dyDescent="0.2">
      <c r="A57" s="185"/>
      <c r="B57" s="179" t="s">
        <v>148</v>
      </c>
      <c r="D57" s="189">
        <f>-'Faktisk &amp; Budget'!E22</f>
        <v>59307</v>
      </c>
      <c r="E57" s="189"/>
      <c r="F57" s="189">
        <f>-'Faktisk &amp; Budget'!G22</f>
        <v>5000</v>
      </c>
      <c r="G57" s="189"/>
      <c r="H57" s="194">
        <v>20000</v>
      </c>
      <c r="I57" s="237" t="s">
        <v>123</v>
      </c>
    </row>
    <row r="58" spans="1:11" ht="15.75" customHeight="1" x14ac:dyDescent="0.2">
      <c r="A58" s="185"/>
      <c r="B58" s="179" t="s">
        <v>149</v>
      </c>
      <c r="D58" s="189">
        <f>-'Faktisk &amp; Budget'!E23</f>
        <v>0</v>
      </c>
      <c r="E58" s="189"/>
      <c r="F58" s="189">
        <f>-'Faktisk &amp; Budget'!G23</f>
        <v>0</v>
      </c>
      <c r="G58" s="189"/>
      <c r="H58" s="194">
        <v>25000</v>
      </c>
      <c r="I58" s="237" t="s">
        <v>123</v>
      </c>
      <c r="J58" s="190"/>
      <c r="K58" s="190"/>
    </row>
    <row r="59" spans="1:11" ht="15.75" customHeight="1" x14ac:dyDescent="0.2">
      <c r="A59" s="185"/>
      <c r="B59" s="179" t="s">
        <v>150</v>
      </c>
      <c r="D59" s="189">
        <f>-'Faktisk &amp; Budget'!E24</f>
        <v>0</v>
      </c>
      <c r="E59" s="189"/>
      <c r="F59" s="189">
        <f>-'Faktisk &amp; Budget'!G24</f>
        <v>0</v>
      </c>
      <c r="G59" s="189"/>
      <c r="H59" s="194">
        <v>0</v>
      </c>
      <c r="I59" s="237" t="s">
        <v>123</v>
      </c>
    </row>
    <row r="60" spans="1:11" ht="15.75" customHeight="1" x14ac:dyDescent="0.2">
      <c r="A60" s="185"/>
      <c r="B60" s="179" t="s">
        <v>522</v>
      </c>
      <c r="D60" s="189">
        <f>-'Faktisk &amp; Budget'!E25</f>
        <v>5622</v>
      </c>
      <c r="E60" s="189"/>
      <c r="F60" s="189">
        <f>-'Faktisk &amp; Budget'!G25</f>
        <v>6000</v>
      </c>
      <c r="G60" s="189"/>
      <c r="H60" s="194">
        <v>5611</v>
      </c>
      <c r="I60" s="237" t="s">
        <v>123</v>
      </c>
    </row>
    <row r="61" spans="1:11" ht="15.75" customHeight="1" x14ac:dyDescent="0.2">
      <c r="A61" s="185"/>
      <c r="B61" s="179" t="s">
        <v>151</v>
      </c>
      <c r="D61" s="189">
        <f>-'Faktisk &amp; Budget'!E26</f>
        <v>5134.7700000000004</v>
      </c>
      <c r="E61" s="189"/>
      <c r="F61" s="189">
        <f>-'Faktisk &amp; Budget'!G26</f>
        <v>0</v>
      </c>
      <c r="G61" s="189"/>
      <c r="H61" s="194">
        <v>6000</v>
      </c>
      <c r="I61" s="237" t="s">
        <v>123</v>
      </c>
      <c r="J61" s="190"/>
      <c r="K61" s="190"/>
    </row>
    <row r="62" spans="1:11" ht="15.75" customHeight="1" x14ac:dyDescent="0.2">
      <c r="A62" s="185"/>
      <c r="B62" s="179" t="s">
        <v>542</v>
      </c>
      <c r="D62" s="189">
        <f>-'Faktisk &amp; Budget'!E27</f>
        <v>-5622</v>
      </c>
      <c r="E62" s="189"/>
      <c r="F62" s="189">
        <f>-'Faktisk &amp; Budget'!G27</f>
        <v>0</v>
      </c>
      <c r="G62" s="189"/>
      <c r="H62" s="194">
        <v>-5611</v>
      </c>
      <c r="I62" s="237" t="s">
        <v>123</v>
      </c>
      <c r="J62" s="190"/>
      <c r="K62" s="190"/>
    </row>
    <row r="63" spans="1:11" x14ac:dyDescent="0.2">
      <c r="A63" s="185"/>
      <c r="B63" s="179" t="s">
        <v>523</v>
      </c>
      <c r="D63" s="189">
        <f>-'Faktisk &amp; Budget'!E28</f>
        <v>5611.22</v>
      </c>
      <c r="E63" s="189"/>
      <c r="F63" s="189">
        <f>-'Faktisk &amp; Budget'!G28</f>
        <v>0</v>
      </c>
      <c r="G63" s="189"/>
      <c r="H63" s="194">
        <v>5897</v>
      </c>
      <c r="I63" s="237" t="s">
        <v>123</v>
      </c>
      <c r="J63" s="190"/>
      <c r="K63" s="190"/>
    </row>
    <row r="64" spans="1:11" ht="15.75" customHeight="1" x14ac:dyDescent="0.2">
      <c r="B64" s="186" t="s">
        <v>152</v>
      </c>
      <c r="D64" s="198">
        <f>SUM(D56:D63)</f>
        <v>72635.490000000005</v>
      </c>
      <c r="E64" s="189"/>
      <c r="F64" s="198">
        <f>SUM(F56:F63)</f>
        <v>13000</v>
      </c>
      <c r="G64" s="189"/>
      <c r="H64" s="227">
        <f>SUM(H56:H63)</f>
        <v>62377</v>
      </c>
      <c r="I64" s="182" t="s">
        <v>63</v>
      </c>
      <c r="J64" s="182"/>
    </row>
    <row r="65" spans="1:11" ht="18" x14ac:dyDescent="0.2">
      <c r="B65" s="186"/>
      <c r="D65" s="180"/>
      <c r="E65" s="180"/>
      <c r="F65" s="180"/>
      <c r="G65" s="180"/>
      <c r="H65" s="180"/>
      <c r="I65" s="182"/>
      <c r="J65" s="182"/>
    </row>
    <row r="66" spans="1:11" ht="18" x14ac:dyDescent="0.2">
      <c r="A66" s="188">
        <v>3</v>
      </c>
      <c r="B66" s="186" t="s">
        <v>60</v>
      </c>
      <c r="D66" s="180"/>
      <c r="E66" s="180"/>
      <c r="F66" s="180"/>
      <c r="G66" s="180"/>
      <c r="H66" s="180"/>
      <c r="I66" s="182"/>
      <c r="J66" s="182"/>
    </row>
    <row r="67" spans="1:11" x14ac:dyDescent="0.2">
      <c r="B67" s="179" t="s">
        <v>320</v>
      </c>
      <c r="D67" s="189">
        <f>-'Faktisk &amp; Budget'!E31</f>
        <v>0</v>
      </c>
      <c r="E67" s="189"/>
      <c r="F67" s="189">
        <f>-'Faktisk &amp; Budget'!G31</f>
        <v>0</v>
      </c>
      <c r="G67" s="180"/>
      <c r="H67" s="194">
        <v>-2472</v>
      </c>
      <c r="I67" s="182"/>
      <c r="J67" s="182"/>
    </row>
    <row r="68" spans="1:11" x14ac:dyDescent="0.2">
      <c r="B68" s="179" t="s">
        <v>552</v>
      </c>
      <c r="D68" s="189">
        <f>-'Faktisk &amp; Budget'!E32</f>
        <v>8250</v>
      </c>
      <c r="E68" s="189"/>
      <c r="F68" s="189">
        <f>-'Faktisk &amp; Budget'!G32</f>
        <v>10000</v>
      </c>
      <c r="G68" s="180"/>
      <c r="H68" s="194">
        <v>19900</v>
      </c>
      <c r="I68" s="182"/>
      <c r="J68" s="182"/>
    </row>
    <row r="69" spans="1:11" x14ac:dyDescent="0.2">
      <c r="B69" s="179" t="s">
        <v>555</v>
      </c>
      <c r="D69" s="189">
        <f>-'Faktisk &amp; Budget'!E33</f>
        <v>0</v>
      </c>
      <c r="E69" s="189"/>
      <c r="F69" s="189">
        <f>-'Faktisk &amp; Budget'!G33</f>
        <v>0</v>
      </c>
      <c r="G69" s="180"/>
      <c r="H69" s="194">
        <v>0</v>
      </c>
      <c r="I69" s="182"/>
      <c r="J69" s="182"/>
    </row>
    <row r="70" spans="1:11" ht="18" x14ac:dyDescent="0.2">
      <c r="B70" s="186" t="s">
        <v>553</v>
      </c>
      <c r="D70" s="227">
        <f>SUM(D67:D69)</f>
        <v>8250</v>
      </c>
      <c r="E70" s="180"/>
      <c r="F70" s="227">
        <f>SUM(F67:F69)</f>
        <v>10000</v>
      </c>
      <c r="G70" s="180"/>
      <c r="H70" s="227">
        <f>SUM(H67:H69)</f>
        <v>17428</v>
      </c>
      <c r="I70" s="182"/>
      <c r="J70" s="182"/>
    </row>
    <row r="71" spans="1:11" ht="18" x14ac:dyDescent="0.2">
      <c r="B71" s="186"/>
      <c r="D71" s="180"/>
      <c r="E71" s="180"/>
      <c r="F71" s="180"/>
      <c r="G71" s="180"/>
      <c r="H71" s="180"/>
      <c r="I71" s="182"/>
      <c r="J71" s="182"/>
    </row>
    <row r="72" spans="1:11" ht="15.75" customHeight="1" x14ac:dyDescent="0.2">
      <c r="A72" s="188">
        <v>4</v>
      </c>
      <c r="B72" s="186" t="s">
        <v>64</v>
      </c>
      <c r="H72" s="189"/>
      <c r="I72" s="244"/>
    </row>
    <row r="73" spans="1:11" ht="6.75" customHeight="1" x14ac:dyDescent="0.2">
      <c r="A73" s="191"/>
      <c r="H73" s="189"/>
    </row>
    <row r="74" spans="1:11" ht="15.75" customHeight="1" x14ac:dyDescent="0.2">
      <c r="A74" s="191"/>
      <c r="B74" s="179" t="s">
        <v>153</v>
      </c>
      <c r="C74" s="192" t="str">
        <f>+'Faktisk &amp; Budget'!C62</f>
        <v>Den Rullende Kagemand</v>
      </c>
      <c r="D74" s="189">
        <f>+'Faktisk &amp; Budget'!E62</f>
        <v>42297.52</v>
      </c>
      <c r="E74" s="189"/>
      <c r="F74" s="189">
        <f>+'Faktisk &amp; Budget'!G62</f>
        <v>40000</v>
      </c>
      <c r="G74" s="189"/>
      <c r="H74" s="194">
        <v>23172</v>
      </c>
      <c r="I74" s="190" t="s">
        <v>154</v>
      </c>
      <c r="J74" s="184"/>
      <c r="K74" s="184"/>
    </row>
    <row r="75" spans="1:11" ht="15.75" customHeight="1" x14ac:dyDescent="0.2">
      <c r="A75" s="191"/>
      <c r="B75" s="179" t="s">
        <v>155</v>
      </c>
      <c r="C75" s="192" t="str">
        <f>+'Faktisk &amp; Budget'!C63</f>
        <v>Babystartpakker</v>
      </c>
      <c r="D75" s="189">
        <f>+'Faktisk &amp; Budget'!E63</f>
        <v>2910.3</v>
      </c>
      <c r="E75" s="189"/>
      <c r="F75" s="189">
        <f>+'Faktisk &amp; Budget'!G63</f>
        <v>5000</v>
      </c>
      <c r="G75" s="189"/>
      <c r="H75" s="194">
        <v>1940</v>
      </c>
      <c r="I75" s="237" t="s">
        <v>123</v>
      </c>
      <c r="J75" s="184"/>
      <c r="K75" s="184"/>
    </row>
    <row r="76" spans="1:11" ht="15.75" customHeight="1" x14ac:dyDescent="0.2">
      <c r="A76" s="191"/>
      <c r="B76" s="179" t="s">
        <v>156</v>
      </c>
      <c r="C76" s="192" t="str">
        <f>+'Faktisk &amp; Budget'!C64</f>
        <v>Familiecafe</v>
      </c>
      <c r="D76" s="189">
        <f>+'Faktisk &amp; Budget'!E64</f>
        <v>21549.03</v>
      </c>
      <c r="E76" s="189"/>
      <c r="F76" s="189">
        <f>+'Faktisk &amp; Budget'!G64</f>
        <v>20000</v>
      </c>
      <c r="G76" s="189"/>
      <c r="H76" s="194">
        <v>22504</v>
      </c>
      <c r="I76" s="237" t="s">
        <v>123</v>
      </c>
      <c r="J76" s="184"/>
      <c r="K76" s="184"/>
    </row>
    <row r="77" spans="1:11" ht="15.75" customHeight="1" x14ac:dyDescent="0.2">
      <c r="B77" s="179" t="s">
        <v>157</v>
      </c>
      <c r="C77" s="192" t="str">
        <f>+'Faktisk &amp; Budget'!C65</f>
        <v>Babycafe</v>
      </c>
      <c r="D77" s="189">
        <f>+'Faktisk &amp; Budget'!E65</f>
        <v>0</v>
      </c>
      <c r="E77" s="189"/>
      <c r="F77" s="189">
        <f>+'Faktisk &amp; Budget'!G65</f>
        <v>10000</v>
      </c>
      <c r="G77" s="189"/>
      <c r="H77" s="194">
        <v>0</v>
      </c>
      <c r="I77" s="237" t="s">
        <v>123</v>
      </c>
      <c r="J77" s="184"/>
      <c r="K77" s="184"/>
    </row>
    <row r="78" spans="1:11" ht="15.75" customHeight="1" x14ac:dyDescent="0.2">
      <c r="B78" s="179" t="s">
        <v>158</v>
      </c>
      <c r="C78" s="192" t="str">
        <f>+'Faktisk &amp; Budget'!C66</f>
        <v>Oplevelsestur - Format Bio</v>
      </c>
      <c r="D78" s="189">
        <f>+'Faktisk &amp; Budget'!E66</f>
        <v>9900</v>
      </c>
      <c r="E78" s="189"/>
      <c r="F78" s="189">
        <f>+'Faktisk &amp; Budget'!G66</f>
        <v>0</v>
      </c>
      <c r="G78" s="189"/>
      <c r="H78" s="194">
        <v>0</v>
      </c>
      <c r="I78" s="237" t="s">
        <v>123</v>
      </c>
      <c r="J78" s="184"/>
      <c r="K78" s="184"/>
    </row>
    <row r="79" spans="1:11" ht="15.75" customHeight="1" x14ac:dyDescent="0.2">
      <c r="B79" s="179" t="s">
        <v>159</v>
      </c>
      <c r="C79" s="192" t="str">
        <f>+'Faktisk &amp; Budget'!C67</f>
        <v>En Hjælpende Hånd</v>
      </c>
      <c r="D79" s="189">
        <f>+'Faktisk &amp; Budget'!E67</f>
        <v>800</v>
      </c>
      <c r="E79" s="189"/>
      <c r="F79" s="189">
        <f>+'Faktisk &amp; Budget'!G67</f>
        <v>20000</v>
      </c>
      <c r="G79" s="189"/>
      <c r="H79" s="194">
        <v>8323</v>
      </c>
      <c r="I79" s="237" t="s">
        <v>123</v>
      </c>
      <c r="J79" s="184"/>
      <c r="K79" s="184"/>
    </row>
    <row r="80" spans="1:11" ht="15.75" customHeight="1" x14ac:dyDescent="0.2">
      <c r="B80" s="179" t="s">
        <v>160</v>
      </c>
      <c r="C80" s="192" t="str">
        <f>+'Faktisk &amp; Budget'!C68</f>
        <v>Café for gravide</v>
      </c>
      <c r="D80" s="189">
        <f>+'Faktisk &amp; Budget'!E68</f>
        <v>0</v>
      </c>
      <c r="E80" s="189"/>
      <c r="F80" s="189">
        <f>+'Faktisk &amp; Budget'!G68</f>
        <v>1000</v>
      </c>
      <c r="G80" s="189"/>
      <c r="H80" s="245">
        <v>0</v>
      </c>
      <c r="I80" s="237" t="s">
        <v>123</v>
      </c>
      <c r="J80" s="184"/>
      <c r="K80" s="184"/>
    </row>
    <row r="81" spans="2:11" ht="15.75" customHeight="1" x14ac:dyDescent="0.2">
      <c r="B81" s="179" t="s">
        <v>161</v>
      </c>
      <c r="C81" s="192">
        <f>+'Faktisk &amp; Budget'!C69</f>
        <v>0</v>
      </c>
      <c r="D81" s="189">
        <f>+'Faktisk &amp; Budget'!E69</f>
        <v>0</v>
      </c>
      <c r="E81" s="189"/>
      <c r="F81" s="189">
        <f>+'Faktisk &amp; Budget'!G69</f>
        <v>0</v>
      </c>
      <c r="G81" s="189"/>
      <c r="H81" s="194">
        <v>0</v>
      </c>
      <c r="I81" s="237" t="s">
        <v>123</v>
      </c>
      <c r="J81" s="184"/>
      <c r="K81" s="184"/>
    </row>
    <row r="82" spans="2:11" ht="15.75" customHeight="1" x14ac:dyDescent="0.2">
      <c r="B82" s="179" t="s">
        <v>162</v>
      </c>
      <c r="C82" s="192" t="str">
        <f>+'Faktisk &amp; Budget'!C70</f>
        <v>Ønsketræet</v>
      </c>
      <c r="D82" s="189">
        <f>+'Faktisk &amp; Budget'!E70</f>
        <v>36250</v>
      </c>
      <c r="E82" s="189"/>
      <c r="F82" s="189">
        <f>+'Faktisk &amp; Budget'!G70</f>
        <v>0</v>
      </c>
      <c r="G82" s="189"/>
      <c r="H82" s="194">
        <v>0</v>
      </c>
      <c r="I82" s="237" t="s">
        <v>123</v>
      </c>
      <c r="J82" s="184"/>
      <c r="K82" s="184"/>
    </row>
    <row r="83" spans="2:11" ht="15.75" customHeight="1" x14ac:dyDescent="0.2">
      <c r="B83" s="179" t="s">
        <v>163</v>
      </c>
      <c r="C83" s="192" t="str">
        <f>+'Faktisk &amp; Budget'!C71</f>
        <v>Cirkus Baldoni</v>
      </c>
      <c r="D83" s="189">
        <f>+'Faktisk &amp; Budget'!E71</f>
        <v>2060</v>
      </c>
      <c r="E83" s="189"/>
      <c r="F83" s="189">
        <f>+'Faktisk &amp; Budget'!G71</f>
        <v>0</v>
      </c>
      <c r="G83" s="189"/>
      <c r="H83" s="194">
        <v>0</v>
      </c>
      <c r="I83" s="237" t="s">
        <v>123</v>
      </c>
      <c r="J83" s="184"/>
      <c r="K83" s="184"/>
    </row>
    <row r="84" spans="2:11" ht="15.75" customHeight="1" x14ac:dyDescent="0.2">
      <c r="B84" s="179" t="s">
        <v>164</v>
      </c>
      <c r="C84" s="192">
        <f>+'Faktisk &amp; Budget'!C72</f>
        <v>0</v>
      </c>
      <c r="D84" s="189">
        <f>+'Faktisk &amp; Budget'!E72</f>
        <v>0</v>
      </c>
      <c r="E84" s="189"/>
      <c r="F84" s="189">
        <f>+'Faktisk &amp; Budget'!G72</f>
        <v>0</v>
      </c>
      <c r="G84" s="189"/>
      <c r="H84" s="194">
        <v>0</v>
      </c>
      <c r="I84" s="237" t="s">
        <v>123</v>
      </c>
      <c r="J84" s="184"/>
      <c r="K84" s="184"/>
    </row>
    <row r="85" spans="2:11" ht="15.75" customHeight="1" x14ac:dyDescent="0.2">
      <c r="B85" s="179" t="s">
        <v>165</v>
      </c>
      <c r="C85" s="192" t="str">
        <f>+'Faktisk &amp; Budget'!C73</f>
        <v>ISOBRO - Tur til Arken</v>
      </c>
      <c r="D85" s="189">
        <f>+'Faktisk &amp; Budget'!E73</f>
        <v>5611</v>
      </c>
      <c r="E85" s="189"/>
      <c r="F85" s="189">
        <f>+'Faktisk &amp; Budget'!G73</f>
        <v>6000</v>
      </c>
      <c r="G85" s="189"/>
      <c r="H85" s="194">
        <v>0</v>
      </c>
      <c r="I85" s="237" t="s">
        <v>123</v>
      </c>
      <c r="J85" s="184"/>
      <c r="K85" s="184"/>
    </row>
    <row r="86" spans="2:11" ht="15.75" customHeight="1" x14ac:dyDescent="0.2">
      <c r="B86" s="179" t="s">
        <v>166</v>
      </c>
      <c r="C86" s="192">
        <f>+'Faktisk &amp; Budget'!C74</f>
        <v>0</v>
      </c>
      <c r="D86" s="189">
        <f>+'Faktisk &amp; Budget'!E74</f>
        <v>0</v>
      </c>
      <c r="E86" s="189"/>
      <c r="F86" s="189">
        <f>+'Faktisk &amp; Budget'!G74</f>
        <v>0</v>
      </c>
      <c r="G86" s="189"/>
      <c r="H86" s="194">
        <v>0</v>
      </c>
      <c r="I86" s="237" t="s">
        <v>123</v>
      </c>
      <c r="J86" s="184"/>
      <c r="K86" s="184"/>
    </row>
    <row r="87" spans="2:11" ht="15.75" customHeight="1" x14ac:dyDescent="0.2">
      <c r="B87" s="179" t="s">
        <v>167</v>
      </c>
      <c r="C87" s="192">
        <f>+'Faktisk &amp; Budget'!C75</f>
        <v>0</v>
      </c>
      <c r="D87" s="189">
        <f>+'Faktisk &amp; Budget'!E75</f>
        <v>0</v>
      </c>
      <c r="E87" s="189"/>
      <c r="F87" s="189">
        <f>+'Faktisk &amp; Budget'!G75</f>
        <v>0</v>
      </c>
      <c r="G87" s="189"/>
      <c r="H87" s="194">
        <v>0</v>
      </c>
      <c r="I87" s="237" t="s">
        <v>123</v>
      </c>
      <c r="J87" s="184"/>
      <c r="K87" s="184"/>
    </row>
    <row r="88" spans="2:11" ht="15.75" customHeight="1" x14ac:dyDescent="0.2">
      <c r="B88" s="179" t="s">
        <v>168</v>
      </c>
      <c r="C88" s="192">
        <f>+'Faktisk &amp; Budget'!C76</f>
        <v>0</v>
      </c>
      <c r="D88" s="189">
        <f>+'Faktisk &amp; Budget'!E76</f>
        <v>0</v>
      </c>
      <c r="E88" s="189"/>
      <c r="F88" s="189">
        <f>+'Faktisk &amp; Budget'!G76</f>
        <v>0</v>
      </c>
      <c r="G88" s="189"/>
      <c r="H88" s="194">
        <v>0</v>
      </c>
      <c r="I88" s="237" t="s">
        <v>123</v>
      </c>
      <c r="J88" s="184"/>
      <c r="K88" s="184"/>
    </row>
    <row r="89" spans="2:11" ht="15.75" customHeight="1" x14ac:dyDescent="0.2">
      <c r="B89" s="179" t="s">
        <v>169</v>
      </c>
      <c r="C89" s="192">
        <f>+'Faktisk &amp; Budget'!C77</f>
        <v>0</v>
      </c>
      <c r="D89" s="189">
        <f>+'Faktisk &amp; Budget'!E77</f>
        <v>0</v>
      </c>
      <c r="E89" s="189"/>
      <c r="F89" s="189">
        <f>+'Faktisk &amp; Budget'!G77</f>
        <v>0</v>
      </c>
      <c r="G89" s="189"/>
      <c r="H89" s="194">
        <v>0</v>
      </c>
      <c r="I89" s="237" t="s">
        <v>123</v>
      </c>
      <c r="J89" s="184"/>
      <c r="K89" s="184"/>
    </row>
    <row r="90" spans="2:11" ht="15.75" customHeight="1" x14ac:dyDescent="0.2">
      <c r="B90" s="179" t="s">
        <v>170</v>
      </c>
      <c r="C90" s="192">
        <f>+'Faktisk &amp; Budget'!C78</f>
        <v>0</v>
      </c>
      <c r="D90" s="189">
        <f>+'Faktisk &amp; Budget'!E78</f>
        <v>0</v>
      </c>
      <c r="E90" s="189"/>
      <c r="F90" s="189">
        <f>+'Faktisk &amp; Budget'!G78</f>
        <v>0</v>
      </c>
      <c r="G90" s="189"/>
      <c r="H90" s="194">
        <v>0</v>
      </c>
      <c r="I90" s="237" t="s">
        <v>123</v>
      </c>
      <c r="J90" s="184"/>
      <c r="K90" s="184"/>
    </row>
    <row r="91" spans="2:11" ht="15.75" customHeight="1" x14ac:dyDescent="0.2">
      <c r="B91" s="179" t="s">
        <v>171</v>
      </c>
      <c r="C91" s="192" t="str">
        <f>+'Faktisk &amp; Budget'!C79</f>
        <v>Feddet</v>
      </c>
      <c r="D91" s="189">
        <f>+'Faktisk &amp; Budget'!E79</f>
        <v>38332.68</v>
      </c>
      <c r="E91" s="189"/>
      <c r="F91" s="189">
        <f>+'Faktisk &amp; Budget'!G79</f>
        <v>0</v>
      </c>
      <c r="G91" s="189"/>
      <c r="H91" s="194">
        <v>25000</v>
      </c>
      <c r="I91" s="237" t="s">
        <v>123</v>
      </c>
      <c r="J91" s="184"/>
      <c r="K91" s="184"/>
    </row>
    <row r="92" spans="2:11" ht="15.75" customHeight="1" x14ac:dyDescent="0.2">
      <c r="B92" s="179" t="s">
        <v>172</v>
      </c>
      <c r="C92" s="192" t="str">
        <f>+'Faktisk &amp; Budget'!C80</f>
        <v>Zoologisk Have</v>
      </c>
      <c r="D92" s="189">
        <f>+'Faktisk &amp; Budget'!E80</f>
        <v>13547</v>
      </c>
      <c r="E92" s="189"/>
      <c r="F92" s="189">
        <f>+'Faktisk &amp; Budget'!G80</f>
        <v>0</v>
      </c>
      <c r="G92" s="189"/>
      <c r="H92" s="194">
        <v>0</v>
      </c>
      <c r="I92" s="237" t="s">
        <v>123</v>
      </c>
      <c r="J92" s="184"/>
      <c r="K92" s="184"/>
    </row>
    <row r="93" spans="2:11" ht="15.75" customHeight="1" x14ac:dyDescent="0.2">
      <c r="B93" s="179" t="s">
        <v>173</v>
      </c>
      <c r="C93" s="192">
        <f>+'Faktisk &amp; Budget'!C81</f>
        <v>0</v>
      </c>
      <c r="D93" s="189">
        <f>+'Faktisk &amp; Budget'!E81</f>
        <v>0</v>
      </c>
      <c r="E93" s="189"/>
      <c r="F93" s="189">
        <f>+'Faktisk &amp; Budget'!G81</f>
        <v>0</v>
      </c>
      <c r="G93" s="189"/>
      <c r="H93" s="194">
        <v>0</v>
      </c>
      <c r="I93" s="237" t="s">
        <v>123</v>
      </c>
      <c r="J93" s="184"/>
      <c r="K93" s="184"/>
    </row>
    <row r="94" spans="2:11" ht="15.75" customHeight="1" x14ac:dyDescent="0.2">
      <c r="B94" s="179" t="s">
        <v>568</v>
      </c>
      <c r="C94" s="192"/>
      <c r="D94" s="189"/>
      <c r="E94" s="189"/>
      <c r="F94" s="189"/>
      <c r="G94" s="189"/>
      <c r="H94" s="194"/>
      <c r="I94" s="237"/>
      <c r="J94" s="184"/>
      <c r="K94" s="184"/>
    </row>
    <row r="95" spans="2:11" ht="15.75" customHeight="1" x14ac:dyDescent="0.2">
      <c r="C95" s="192"/>
      <c r="D95" s="189"/>
      <c r="E95" s="189"/>
      <c r="F95" s="189"/>
      <c r="G95" s="189"/>
      <c r="H95" s="194"/>
      <c r="I95" s="237"/>
      <c r="J95" s="184"/>
      <c r="K95" s="184"/>
    </row>
    <row r="96" spans="2:11" ht="15.75" customHeight="1" x14ac:dyDescent="0.2">
      <c r="C96" s="192"/>
      <c r="D96" s="189"/>
      <c r="E96" s="189"/>
      <c r="F96" s="189"/>
      <c r="G96" s="189"/>
      <c r="H96" s="194"/>
      <c r="I96" s="237"/>
      <c r="J96" s="184"/>
      <c r="K96" s="184"/>
    </row>
    <row r="97" spans="1:11" ht="15.75" customHeight="1" x14ac:dyDescent="0.2">
      <c r="A97" s="298" t="s">
        <v>175</v>
      </c>
      <c r="B97" s="298"/>
      <c r="C97" s="298"/>
      <c r="D97" s="298"/>
      <c r="E97" s="298"/>
      <c r="F97" s="298"/>
      <c r="G97" s="298"/>
      <c r="H97" s="298"/>
      <c r="I97" s="237"/>
      <c r="J97" s="184"/>
      <c r="K97" s="184"/>
    </row>
    <row r="98" spans="1:11" ht="15.75" customHeight="1" x14ac:dyDescent="0.2">
      <c r="C98" s="192"/>
      <c r="D98" s="189"/>
      <c r="E98" s="189"/>
      <c r="F98" s="189"/>
      <c r="G98" s="189"/>
      <c r="H98" s="194"/>
      <c r="I98" s="237"/>
      <c r="J98" s="184"/>
      <c r="K98" s="184"/>
    </row>
    <row r="99" spans="1:11" ht="15.75" customHeight="1" x14ac:dyDescent="0.2">
      <c r="A99" s="188">
        <v>4</v>
      </c>
      <c r="B99" s="186" t="s">
        <v>569</v>
      </c>
      <c r="C99" s="192"/>
      <c r="D99" s="189"/>
      <c r="E99" s="189"/>
      <c r="F99" s="189"/>
      <c r="G99" s="189"/>
      <c r="H99" s="194"/>
      <c r="I99" s="237"/>
      <c r="J99" s="184"/>
      <c r="K99" s="184"/>
    </row>
    <row r="100" spans="1:11" ht="15.75" customHeight="1" x14ac:dyDescent="0.2">
      <c r="C100" s="192"/>
      <c r="D100" s="189"/>
      <c r="E100" s="189"/>
      <c r="F100" s="189"/>
      <c r="G100" s="189"/>
      <c r="H100" s="194"/>
      <c r="I100" s="237"/>
      <c r="J100" s="184"/>
      <c r="K100" s="184"/>
    </row>
    <row r="101" spans="1:11" ht="15.75" customHeight="1" x14ac:dyDescent="0.2">
      <c r="B101" s="179" t="s">
        <v>563</v>
      </c>
      <c r="C101" s="192">
        <f>+'Faktisk &amp; Budget'!C82</f>
        <v>0</v>
      </c>
      <c r="D101" s="189">
        <f>+'Faktisk &amp; Budget'!E82</f>
        <v>0</v>
      </c>
      <c r="E101" s="189"/>
      <c r="F101" s="189">
        <f>+'Faktisk &amp; Budget'!G82</f>
        <v>0</v>
      </c>
      <c r="G101" s="189"/>
      <c r="H101" s="194">
        <v>0</v>
      </c>
      <c r="I101" s="237" t="s">
        <v>123</v>
      </c>
      <c r="J101" s="184"/>
      <c r="K101" s="184"/>
    </row>
    <row r="102" spans="1:11" ht="15.75" customHeight="1" x14ac:dyDescent="0.2">
      <c r="B102" s="179" t="s">
        <v>564</v>
      </c>
      <c r="C102" s="192">
        <f>+'Faktisk &amp; Budget'!C83</f>
        <v>0</v>
      </c>
      <c r="D102" s="189">
        <f>+'Faktisk &amp; Budget'!E83</f>
        <v>0</v>
      </c>
      <c r="E102" s="189"/>
      <c r="F102" s="189">
        <f>+'Faktisk &amp; Budget'!G83</f>
        <v>0</v>
      </c>
      <c r="G102" s="189"/>
      <c r="H102" s="194">
        <v>0</v>
      </c>
      <c r="I102" s="237" t="s">
        <v>123</v>
      </c>
      <c r="J102" s="184"/>
      <c r="K102" s="184"/>
    </row>
    <row r="103" spans="1:11" ht="15.75" customHeight="1" x14ac:dyDescent="0.2">
      <c r="B103" s="179" t="s">
        <v>565</v>
      </c>
      <c r="C103" s="192">
        <f>+'Faktisk &amp; Budget'!C84</f>
        <v>0</v>
      </c>
      <c r="D103" s="189">
        <f>+'Faktisk &amp; Budget'!E84</f>
        <v>0</v>
      </c>
      <c r="E103" s="189"/>
      <c r="F103" s="189">
        <f>+'Faktisk &amp; Budget'!G84</f>
        <v>0</v>
      </c>
      <c r="G103" s="189"/>
      <c r="H103" s="194">
        <v>0</v>
      </c>
      <c r="I103" s="237" t="s">
        <v>123</v>
      </c>
      <c r="J103" s="184"/>
      <c r="K103" s="184"/>
    </row>
    <row r="104" spans="1:11" ht="15.75" customHeight="1" x14ac:dyDescent="0.2">
      <c r="B104" s="179" t="s">
        <v>566</v>
      </c>
      <c r="C104" s="192">
        <f>+'Faktisk &amp; Budget'!C85</f>
        <v>0</v>
      </c>
      <c r="D104" s="189">
        <f>+'Faktisk &amp; Budget'!E85</f>
        <v>0</v>
      </c>
      <c r="E104" s="189"/>
      <c r="F104" s="189">
        <f>+'Faktisk &amp; Budget'!G85</f>
        <v>0</v>
      </c>
      <c r="G104" s="189"/>
      <c r="H104" s="194">
        <v>0</v>
      </c>
      <c r="I104" s="237" t="s">
        <v>123</v>
      </c>
      <c r="J104" s="184"/>
      <c r="K104" s="184"/>
    </row>
    <row r="105" spans="1:11" ht="15.75" customHeight="1" x14ac:dyDescent="0.2">
      <c r="B105" s="179" t="s">
        <v>567</v>
      </c>
      <c r="C105" s="192">
        <f>+'Faktisk &amp; Budget'!C86</f>
        <v>0</v>
      </c>
      <c r="D105" s="189">
        <f>+'Faktisk &amp; Budget'!E86</f>
        <v>0</v>
      </c>
      <c r="E105" s="189"/>
      <c r="F105" s="189">
        <f>+'Faktisk &amp; Budget'!G86</f>
        <v>0</v>
      </c>
      <c r="G105" s="189"/>
      <c r="H105" s="194">
        <v>0</v>
      </c>
      <c r="I105" s="237" t="s">
        <v>123</v>
      </c>
      <c r="J105" s="184"/>
      <c r="K105" s="184"/>
    </row>
    <row r="106" spans="1:11" ht="15.75" customHeight="1" x14ac:dyDescent="0.2">
      <c r="B106" s="186" t="s">
        <v>174</v>
      </c>
      <c r="D106" s="198">
        <f>SUM(D74:D93)+SUM(D101:D105)</f>
        <v>173257.53</v>
      </c>
      <c r="E106" s="189"/>
      <c r="F106" s="198">
        <f>SUM(F74:F93)+SUM(F101:F105)</f>
        <v>102000</v>
      </c>
      <c r="G106" s="189"/>
      <c r="H106" s="198">
        <f>SUM(H74:H93)+SUM(H101:H105)</f>
        <v>80939</v>
      </c>
      <c r="I106" s="182" t="s">
        <v>63</v>
      </c>
    </row>
    <row r="108" spans="1:11" ht="15.75" customHeight="1" x14ac:dyDescent="0.2">
      <c r="A108" s="188">
        <v>5</v>
      </c>
      <c r="B108" s="186" t="s">
        <v>66</v>
      </c>
    </row>
    <row r="109" spans="1:11" ht="15.75" customHeight="1" x14ac:dyDescent="0.2"/>
    <row r="110" spans="1:11" ht="15.75" customHeight="1" x14ac:dyDescent="0.2">
      <c r="B110" s="179" t="s">
        <v>176</v>
      </c>
      <c r="D110" s="189">
        <f>+'Faktisk &amp; Budget'!E92</f>
        <v>0</v>
      </c>
      <c r="E110" s="189"/>
      <c r="F110" s="189">
        <f>+'Faktisk &amp; Budget'!G92</f>
        <v>0</v>
      </c>
      <c r="G110" s="189"/>
      <c r="H110" s="194">
        <v>0</v>
      </c>
      <c r="I110" s="237" t="s">
        <v>123</v>
      </c>
      <c r="J110" s="236"/>
      <c r="K110" s="236"/>
    </row>
    <row r="111" spans="1:11" ht="15.75" customHeight="1" x14ac:dyDescent="0.2">
      <c r="B111" s="179" t="s">
        <v>177</v>
      </c>
      <c r="D111" s="189">
        <f>+'Faktisk &amp; Budget'!E93</f>
        <v>118.75</v>
      </c>
      <c r="E111" s="189"/>
      <c r="F111" s="189">
        <f>+'Faktisk &amp; Budget'!G93</f>
        <v>0</v>
      </c>
      <c r="G111" s="189"/>
      <c r="H111" s="194">
        <v>0</v>
      </c>
      <c r="I111" s="237" t="s">
        <v>123</v>
      </c>
      <c r="J111" s="236"/>
      <c r="K111" s="236"/>
    </row>
    <row r="112" spans="1:11" ht="15.75" customHeight="1" x14ac:dyDescent="0.2">
      <c r="B112" s="179" t="s">
        <v>527</v>
      </c>
      <c r="D112" s="189">
        <f>+'Faktisk &amp; Budget'!E94</f>
        <v>0</v>
      </c>
      <c r="E112" s="189"/>
      <c r="F112" s="189">
        <f>+'Faktisk &amp; Budget'!G94</f>
        <v>0</v>
      </c>
      <c r="G112" s="189"/>
      <c r="H112" s="194">
        <v>0</v>
      </c>
      <c r="I112" s="237" t="s">
        <v>123</v>
      </c>
      <c r="J112" s="236"/>
      <c r="K112" s="236"/>
    </row>
    <row r="113" spans="1:11" ht="15.75" customHeight="1" x14ac:dyDescent="0.2">
      <c r="B113" s="179" t="s">
        <v>178</v>
      </c>
      <c r="D113" s="189">
        <f>+'Faktisk &amp; Budget'!E95</f>
        <v>0</v>
      </c>
      <c r="E113" s="189"/>
      <c r="F113" s="189">
        <f>+'Faktisk &amp; Budget'!G95</f>
        <v>0</v>
      </c>
      <c r="G113" s="189"/>
      <c r="H113" s="194">
        <v>0</v>
      </c>
      <c r="I113" s="237" t="s">
        <v>123</v>
      </c>
      <c r="J113" s="236"/>
      <c r="K113" s="236"/>
    </row>
    <row r="114" spans="1:11" ht="15.75" customHeight="1" x14ac:dyDescent="0.2">
      <c r="B114" s="179" t="s">
        <v>179</v>
      </c>
      <c r="D114" s="189">
        <f>+'Faktisk &amp; Budget'!E96</f>
        <v>4765.75</v>
      </c>
      <c r="E114" s="189"/>
      <c r="F114" s="189">
        <f>+'Faktisk &amp; Budget'!G96</f>
        <v>1000</v>
      </c>
      <c r="G114" s="189"/>
      <c r="H114" s="194">
        <v>2185</v>
      </c>
      <c r="I114" s="237" t="s">
        <v>123</v>
      </c>
      <c r="J114" s="236"/>
      <c r="K114" s="236"/>
    </row>
    <row r="115" spans="1:11" ht="15.75" customHeight="1" x14ac:dyDescent="0.2">
      <c r="B115" s="179" t="s">
        <v>180</v>
      </c>
      <c r="D115" s="189">
        <f>+'Faktisk &amp; Budget'!E97</f>
        <v>0</v>
      </c>
      <c r="E115" s="189"/>
      <c r="F115" s="189">
        <f>+'Faktisk &amp; Budget'!G97</f>
        <v>0</v>
      </c>
      <c r="G115" s="189"/>
      <c r="H115" s="194">
        <v>0</v>
      </c>
      <c r="I115" s="237" t="s">
        <v>123</v>
      </c>
      <c r="J115" s="236"/>
      <c r="K115" s="236"/>
    </row>
    <row r="116" spans="1:11" ht="15.75" customHeight="1" x14ac:dyDescent="0.2">
      <c r="B116" s="179" t="s">
        <v>137</v>
      </c>
      <c r="D116" s="189">
        <f>+'Faktisk &amp; Budget'!E98</f>
        <v>0</v>
      </c>
      <c r="E116" s="189"/>
      <c r="F116" s="189">
        <f>+'Faktisk &amp; Budget'!G98</f>
        <v>0</v>
      </c>
      <c r="G116" s="189"/>
      <c r="H116" s="194">
        <v>0</v>
      </c>
      <c r="I116" s="237" t="s">
        <v>123</v>
      </c>
      <c r="J116" s="236"/>
      <c r="K116" s="236"/>
    </row>
    <row r="117" spans="1:11" ht="15.75" customHeight="1" x14ac:dyDescent="0.2">
      <c r="B117" s="179" t="s">
        <v>181</v>
      </c>
      <c r="D117" s="189">
        <f>+'Faktisk &amp; Budget'!E99</f>
        <v>0</v>
      </c>
      <c r="E117" s="189"/>
      <c r="F117" s="189">
        <f>+'Faktisk &amp; Budget'!G99</f>
        <v>0</v>
      </c>
      <c r="G117" s="189"/>
      <c r="H117" s="194">
        <v>0</v>
      </c>
      <c r="I117" s="237" t="s">
        <v>123</v>
      </c>
      <c r="J117" s="236"/>
      <c r="K117" s="236"/>
    </row>
    <row r="118" spans="1:11" ht="15.75" customHeight="1" x14ac:dyDescent="0.2">
      <c r="B118" s="179" t="s">
        <v>182</v>
      </c>
      <c r="D118" s="189">
        <f>+'Faktisk &amp; Budget'!E100</f>
        <v>504</v>
      </c>
      <c r="E118" s="189"/>
      <c r="F118" s="189">
        <f>+'Faktisk &amp; Budget'!G100</f>
        <v>0</v>
      </c>
      <c r="G118" s="189"/>
      <c r="H118" s="194">
        <v>0</v>
      </c>
      <c r="I118" s="237" t="s">
        <v>123</v>
      </c>
      <c r="J118" s="236"/>
      <c r="K118" s="236"/>
    </row>
    <row r="119" spans="1:11" ht="15.75" customHeight="1" x14ac:dyDescent="0.2">
      <c r="B119" s="179" t="s">
        <v>183</v>
      </c>
      <c r="D119" s="189">
        <f>+'Faktisk &amp; Budget'!E101</f>
        <v>0</v>
      </c>
      <c r="E119" s="189"/>
      <c r="F119" s="189">
        <f>+'Faktisk &amp; Budget'!G101</f>
        <v>0</v>
      </c>
      <c r="G119" s="189"/>
      <c r="H119" s="194">
        <v>0</v>
      </c>
      <c r="I119" s="237" t="s">
        <v>123</v>
      </c>
      <c r="J119" s="236"/>
      <c r="K119" s="236"/>
    </row>
    <row r="120" spans="1:11" ht="15.75" customHeight="1" x14ac:dyDescent="0.2">
      <c r="B120" s="179" t="s">
        <v>139</v>
      </c>
      <c r="D120" s="189">
        <f>+'Faktisk &amp; Budget'!E102</f>
        <v>1898</v>
      </c>
      <c r="E120" s="189"/>
      <c r="F120" s="189">
        <f>+'Faktisk &amp; Budget'!G102</f>
        <v>0</v>
      </c>
      <c r="G120" s="189"/>
      <c r="H120" s="194">
        <v>0</v>
      </c>
      <c r="I120" s="237" t="s">
        <v>123</v>
      </c>
      <c r="J120" s="236"/>
      <c r="K120" s="236"/>
    </row>
    <row r="121" spans="1:11" ht="15.75" customHeight="1" x14ac:dyDescent="0.2">
      <c r="B121" s="179" t="s">
        <v>138</v>
      </c>
      <c r="D121" s="189">
        <f>+'Faktisk &amp; Budget'!E103</f>
        <v>6314.48</v>
      </c>
      <c r="E121" s="189"/>
      <c r="F121" s="189">
        <f>+'Faktisk &amp; Budget'!G103</f>
        <v>3500</v>
      </c>
      <c r="G121" s="189"/>
      <c r="H121" s="194">
        <v>4009</v>
      </c>
      <c r="I121" s="237" t="s">
        <v>123</v>
      </c>
      <c r="J121" s="236"/>
      <c r="K121" s="236"/>
    </row>
    <row r="122" spans="1:11" ht="15.75" customHeight="1" x14ac:dyDescent="0.2">
      <c r="B122" s="186" t="s">
        <v>184</v>
      </c>
      <c r="D122" s="198">
        <f>SUM(D110:D121)</f>
        <v>13600.98</v>
      </c>
      <c r="E122" s="189"/>
      <c r="F122" s="198">
        <f>SUM(F110:F121)</f>
        <v>4500</v>
      </c>
      <c r="G122" s="189"/>
      <c r="H122" s="227">
        <f>SUM(H110:H121)</f>
        <v>6194</v>
      </c>
      <c r="I122" s="182" t="s">
        <v>63</v>
      </c>
    </row>
    <row r="123" spans="1:11" x14ac:dyDescent="0.2">
      <c r="A123" s="191"/>
      <c r="B123" s="191"/>
      <c r="C123" s="191"/>
      <c r="D123" s="191"/>
      <c r="E123" s="191"/>
      <c r="F123" s="191"/>
      <c r="G123" s="191"/>
      <c r="H123" s="191"/>
    </row>
    <row r="124" spans="1:11" ht="18" x14ac:dyDescent="0.2">
      <c r="A124" s="188">
        <v>6</v>
      </c>
      <c r="B124" s="186" t="s">
        <v>185</v>
      </c>
      <c r="D124" s="243"/>
      <c r="E124" s="243"/>
      <c r="F124" s="243"/>
      <c r="G124" s="243"/>
      <c r="H124" s="243"/>
    </row>
    <row r="125" spans="1:11" ht="6.75" customHeight="1" x14ac:dyDescent="0.2">
      <c r="B125" s="186"/>
      <c r="D125" s="243"/>
      <c r="E125" s="243"/>
      <c r="F125" s="243"/>
      <c r="G125" s="243"/>
      <c r="H125" s="243"/>
      <c r="I125" s="236"/>
      <c r="J125" s="236"/>
      <c r="K125" s="236"/>
    </row>
    <row r="126" spans="1:11" ht="15.75" customHeight="1" x14ac:dyDescent="0.2">
      <c r="B126" s="179" t="s">
        <v>186</v>
      </c>
      <c r="D126" s="189">
        <f>+'Faktisk &amp; Budget'!E112</f>
        <v>0</v>
      </c>
      <c r="E126" s="189"/>
      <c r="F126" s="189">
        <f>+'Faktisk &amp; Budget'!G112</f>
        <v>0</v>
      </c>
      <c r="G126" s="189"/>
      <c r="H126" s="194">
        <v>0</v>
      </c>
      <c r="I126" s="237" t="s">
        <v>123</v>
      </c>
      <c r="J126" s="236"/>
      <c r="K126" s="236"/>
    </row>
    <row r="127" spans="1:11" ht="15.75" customHeight="1" x14ac:dyDescent="0.2">
      <c r="B127" s="179" t="s">
        <v>187</v>
      </c>
      <c r="D127" s="189">
        <f>+'Faktisk &amp; Budget'!E113</f>
        <v>15000</v>
      </c>
      <c r="E127" s="189"/>
      <c r="F127" s="189">
        <f>+'Faktisk &amp; Budget'!G113</f>
        <v>0</v>
      </c>
      <c r="G127" s="189"/>
      <c r="H127" s="194">
        <v>2500</v>
      </c>
      <c r="I127" s="237" t="s">
        <v>123</v>
      </c>
      <c r="J127" s="236"/>
      <c r="K127" s="236"/>
    </row>
    <row r="128" spans="1:11" ht="15.75" customHeight="1" x14ac:dyDescent="0.2">
      <c r="B128" s="186" t="s">
        <v>188</v>
      </c>
      <c r="D128" s="198">
        <f>SUM(D126:D127)</f>
        <v>15000</v>
      </c>
      <c r="E128" s="189"/>
      <c r="F128" s="198">
        <f>SUM(F126:F127)</f>
        <v>0</v>
      </c>
      <c r="G128" s="189"/>
      <c r="H128" s="198">
        <f>SUM(H126:H127)</f>
        <v>2500</v>
      </c>
      <c r="I128" s="182" t="s">
        <v>63</v>
      </c>
      <c r="J128" s="236"/>
      <c r="K128" s="236"/>
    </row>
    <row r="129" spans="1:11" x14ac:dyDescent="0.2">
      <c r="I129" s="236"/>
      <c r="J129" s="236"/>
      <c r="K129" s="236"/>
    </row>
    <row r="131" spans="1:11" ht="6.75" customHeight="1" x14ac:dyDescent="0.2"/>
    <row r="139" spans="1:11" x14ac:dyDescent="0.2">
      <c r="D139" s="189"/>
      <c r="E139" s="189"/>
      <c r="F139" s="189"/>
      <c r="G139" s="189"/>
      <c r="H139" s="215"/>
      <c r="I139" s="190"/>
    </row>
    <row r="142" spans="1:11" x14ac:dyDescent="0.2">
      <c r="A142" s="298" t="s">
        <v>189</v>
      </c>
      <c r="B142" s="298"/>
      <c r="C142" s="298"/>
      <c r="D142" s="298"/>
      <c r="E142" s="298"/>
      <c r="F142" s="298"/>
      <c r="G142" s="298"/>
      <c r="H142" s="298"/>
    </row>
  </sheetData>
  <sheetProtection algorithmName="SHA-512" hashValue="uG9Q1D4w5VhXLd6NI6ESiyq/wMbUTSEJ/Jde99awu8ANAuLGy3c3PieP08OfDZ8s8a9iPr2zC9h23qfZlXFrEg==" saltValue="qCSmAknpk5c+xdk67RTsXw==" spinCount="100000" sheet="1" formatColumns="0"/>
  <mergeCells count="4">
    <mergeCell ref="A97:H97"/>
    <mergeCell ref="A53:H53"/>
    <mergeCell ref="B44:C44"/>
    <mergeCell ref="A142:H142"/>
  </mergeCells>
  <phoneticPr fontId="2" type="noConversion"/>
  <conditionalFormatting sqref="C74:C105">
    <cfRule type="cellIs" dxfId="10" priority="1" operator="equal">
      <formula>0</formula>
    </cfRule>
  </conditionalFormatting>
  <printOptions horizontalCentered="1"/>
  <pageMargins left="0.7" right="0.7" top="0.75" bottom="0.75" header="0.3" footer="0.3"/>
  <pageSetup paperSize="9" scale="90" orientation="portrait" r:id="rId1"/>
  <rowBreaks count="2" manualBreakCount="2">
    <brk id="53" max="7" man="1"/>
    <brk id="97"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33CC"/>
  </sheetPr>
  <dimension ref="A3:J86"/>
  <sheetViews>
    <sheetView zoomScale="85" zoomScaleNormal="85" workbookViewId="0">
      <pane ySplit="8" topLeftCell="A9" activePane="bottomLeft" state="frozen"/>
      <selection pane="bottomLeft" activeCell="E45" sqref="E45"/>
    </sheetView>
  </sheetViews>
  <sheetFormatPr defaultColWidth="9.28515625" defaultRowHeight="15" x14ac:dyDescent="0.2"/>
  <cols>
    <col min="1" max="1" width="8.42578125" style="179" customWidth="1"/>
    <col min="2" max="2" width="45.7109375" style="179" customWidth="1"/>
    <col min="3" max="3" width="10.7109375" style="179" customWidth="1"/>
    <col min="4" max="4" width="1.7109375" style="179" customWidth="1"/>
    <col min="5" max="5" width="10.7109375" style="179" customWidth="1"/>
    <col min="6" max="6" width="25.7109375" style="179" customWidth="1"/>
    <col min="7" max="7" width="18.42578125" style="179" customWidth="1"/>
    <col min="8" max="12" width="17.85546875" style="179" customWidth="1"/>
    <col min="13" max="16384" width="9.28515625" style="179"/>
  </cols>
  <sheetData>
    <row r="3" spans="1:10" x14ac:dyDescent="0.2">
      <c r="F3" s="180" t="s">
        <v>0</v>
      </c>
    </row>
    <row r="4" spans="1:10" ht="21" x14ac:dyDescent="0.2">
      <c r="A4" s="183" t="str">
        <f>Basisoplysninger!C11 &amp; " LOKALFORENING " &amp; Basisoplysninger!C10</f>
        <v>BALLERUP LOKALFORENING 2025</v>
      </c>
      <c r="B4" s="183"/>
      <c r="C4" s="183"/>
      <c r="D4" s="183"/>
      <c r="E4" s="183"/>
      <c r="F4" s="182" t="s">
        <v>119</v>
      </c>
    </row>
    <row r="5" spans="1:10" ht="21.75" thickBot="1" x14ac:dyDescent="0.25">
      <c r="A5" s="295" t="s">
        <v>190</v>
      </c>
      <c r="B5" s="295"/>
      <c r="C5" s="295"/>
      <c r="D5" s="295"/>
      <c r="E5" s="295"/>
      <c r="G5" s="183"/>
    </row>
    <row r="6" spans="1:10" x14ac:dyDescent="0.2">
      <c r="E6" s="234"/>
    </row>
    <row r="7" spans="1:10" ht="18" customHeight="1" x14ac:dyDescent="0.2">
      <c r="A7" s="186"/>
      <c r="B7" s="186"/>
      <c r="C7" s="185" t="s">
        <v>50</v>
      </c>
      <c r="D7" s="185"/>
      <c r="E7" s="185" t="s">
        <v>50</v>
      </c>
      <c r="F7" s="190" t="s">
        <v>55</v>
      </c>
      <c r="G7" s="236"/>
      <c r="H7" s="236"/>
    </row>
    <row r="8" spans="1:10" ht="20.25" customHeight="1" x14ac:dyDescent="0.2">
      <c r="A8" s="186" t="s">
        <v>52</v>
      </c>
      <c r="B8" s="186"/>
      <c r="C8" s="188">
        <f>+Basisoplysninger!C10</f>
        <v>2025</v>
      </c>
      <c r="D8" s="188"/>
      <c r="E8" s="188">
        <f>+C8-1</f>
        <v>2024</v>
      </c>
      <c r="F8" s="182" t="s">
        <v>57</v>
      </c>
      <c r="G8" s="236"/>
      <c r="H8" s="236"/>
    </row>
    <row r="9" spans="1:10" ht="13.5" customHeight="1" x14ac:dyDescent="0.2">
      <c r="B9" s="186"/>
      <c r="C9" s="180"/>
      <c r="D9" s="180"/>
      <c r="E9" s="180"/>
      <c r="G9" s="236"/>
      <c r="H9" s="236"/>
    </row>
    <row r="10" spans="1:10" ht="18" x14ac:dyDescent="0.2">
      <c r="A10" s="188">
        <v>7</v>
      </c>
      <c r="B10" s="186" t="s">
        <v>71</v>
      </c>
      <c r="C10" s="189"/>
      <c r="D10" s="189"/>
      <c r="E10" s="189"/>
      <c r="F10" s="190"/>
    </row>
    <row r="11" spans="1:10" ht="7.5" customHeight="1" x14ac:dyDescent="0.2">
      <c r="A11" s="188"/>
      <c r="B11" s="186"/>
      <c r="C11" s="189"/>
      <c r="D11" s="189"/>
      <c r="E11" s="189"/>
      <c r="F11" s="189"/>
      <c r="G11" s="189"/>
      <c r="H11" s="236"/>
      <c r="I11" s="236"/>
      <c r="J11" s="236"/>
    </row>
    <row r="12" spans="1:10" ht="15.75" customHeight="1" x14ac:dyDescent="0.2">
      <c r="B12" s="179" t="s">
        <v>191</v>
      </c>
      <c r="C12" s="189">
        <f>+Hjælpeberegner!B11</f>
        <v>244848.06999999995</v>
      </c>
      <c r="D12" s="189"/>
      <c r="E12" s="194">
        <v>179329</v>
      </c>
      <c r="F12" s="190" t="s">
        <v>192</v>
      </c>
      <c r="G12" s="189"/>
    </row>
    <row r="13" spans="1:10" ht="15.75" customHeight="1" x14ac:dyDescent="0.2">
      <c r="B13" s="179" t="s">
        <v>193</v>
      </c>
      <c r="C13" s="208">
        <f>+Hjælpeberegner!B12</f>
        <v>40000</v>
      </c>
      <c r="D13" s="189"/>
      <c r="E13" s="209">
        <v>40000</v>
      </c>
      <c r="F13" s="190" t="s">
        <v>192</v>
      </c>
      <c r="G13" s="189"/>
    </row>
    <row r="14" spans="1:10" ht="15.75" customHeight="1" x14ac:dyDescent="0.2">
      <c r="B14" s="179" t="s">
        <v>194</v>
      </c>
      <c r="C14" s="246">
        <f>+Hjælpeberegner!B13</f>
        <v>204848.06999999995</v>
      </c>
      <c r="D14" s="189"/>
      <c r="E14" s="247">
        <f>+E12-E13</f>
        <v>139329</v>
      </c>
      <c r="F14" s="190" t="s">
        <v>192</v>
      </c>
      <c r="G14" s="189"/>
    </row>
    <row r="15" spans="1:10" ht="7.5" customHeight="1" x14ac:dyDescent="0.2">
      <c r="C15" s="189"/>
      <c r="D15" s="189"/>
      <c r="E15" s="194"/>
      <c r="F15" s="190"/>
      <c r="G15" s="189"/>
    </row>
    <row r="16" spans="1:10" x14ac:dyDescent="0.2">
      <c r="B16" s="179" t="s">
        <v>526</v>
      </c>
      <c r="C16" s="274">
        <f>+Hjælpeberegner!B15</f>
        <v>0.5</v>
      </c>
      <c r="D16" s="189"/>
      <c r="E16" s="275">
        <f>+C16</f>
        <v>0.5</v>
      </c>
      <c r="F16" s="190"/>
      <c r="G16" s="189"/>
    </row>
    <row r="17" spans="1:8" ht="15.75" customHeight="1" x14ac:dyDescent="0.2">
      <c r="B17" s="186" t="s">
        <v>196</v>
      </c>
      <c r="C17" s="198">
        <f>Hjælpeberegner!B16</f>
        <v>102424</v>
      </c>
      <c r="D17" s="189"/>
      <c r="E17" s="248">
        <v>69664</v>
      </c>
      <c r="G17" s="189"/>
    </row>
    <row r="18" spans="1:8" ht="13.5" customHeight="1" x14ac:dyDescent="0.2">
      <c r="B18" s="186"/>
      <c r="C18" s="180"/>
      <c r="D18" s="180"/>
      <c r="E18" s="180"/>
      <c r="G18" s="236"/>
      <c r="H18" s="236"/>
    </row>
    <row r="19" spans="1:8" ht="18" x14ac:dyDescent="0.2">
      <c r="A19" s="188">
        <v>8</v>
      </c>
      <c r="B19" s="186" t="s">
        <v>96</v>
      </c>
      <c r="C19" s="189"/>
      <c r="D19" s="189"/>
      <c r="E19" s="189"/>
      <c r="F19" s="190"/>
    </row>
    <row r="20" spans="1:8" ht="6.75" customHeight="1" x14ac:dyDescent="0.2">
      <c r="A20" s="188"/>
      <c r="B20" s="186"/>
      <c r="C20" s="189"/>
      <c r="D20" s="189"/>
      <c r="E20" s="189"/>
      <c r="F20" s="190"/>
    </row>
    <row r="21" spans="1:8" ht="15.75" customHeight="1" x14ac:dyDescent="0.2">
      <c r="B21" s="179" t="s">
        <v>528</v>
      </c>
      <c r="C21" s="189">
        <f>+Hjælpeberegner!B19+Hjælpeberegner!B20</f>
        <v>295624.40999999992</v>
      </c>
      <c r="D21" s="189"/>
      <c r="E21" s="249">
        <v>273715</v>
      </c>
      <c r="F21" s="190" t="s">
        <v>197</v>
      </c>
    </row>
    <row r="22" spans="1:8" ht="15.75" customHeight="1" x14ac:dyDescent="0.2">
      <c r="B22" s="179" t="s">
        <v>73</v>
      </c>
      <c r="C22" s="189">
        <f>Hjælpeberegner!B21</f>
        <v>0</v>
      </c>
      <c r="D22" s="189"/>
      <c r="E22" s="249">
        <v>0</v>
      </c>
      <c r="F22" s="190" t="s">
        <v>197</v>
      </c>
    </row>
    <row r="23" spans="1:8" ht="15.75" customHeight="1" x14ac:dyDescent="0.2">
      <c r="B23" s="179" t="s">
        <v>74</v>
      </c>
      <c r="C23" s="208">
        <f>Hjælpeberegner!B22</f>
        <v>0</v>
      </c>
      <c r="D23" s="189"/>
      <c r="E23" s="250">
        <v>0</v>
      </c>
      <c r="F23" s="190" t="s">
        <v>197</v>
      </c>
    </row>
    <row r="24" spans="1:8" ht="15.75" customHeight="1" x14ac:dyDescent="0.2">
      <c r="B24" s="179" t="s">
        <v>198</v>
      </c>
      <c r="C24" s="189">
        <f>SUM(C21:C23)</f>
        <v>295624.40999999992</v>
      </c>
      <c r="D24" s="243"/>
      <c r="E24" s="189">
        <f>SUM(E21:E23)</f>
        <v>273715</v>
      </c>
      <c r="F24" s="182" t="s">
        <v>63</v>
      </c>
    </row>
    <row r="25" spans="1:8" ht="15.75" customHeight="1" x14ac:dyDescent="0.2">
      <c r="B25" s="179" t="s">
        <v>199</v>
      </c>
      <c r="C25" s="189">
        <f>Hjælpeberegner!B24</f>
        <v>400000</v>
      </c>
      <c r="D25" s="189"/>
      <c r="E25" s="249">
        <v>550000</v>
      </c>
      <c r="F25" s="190" t="s">
        <v>197</v>
      </c>
    </row>
    <row r="26" spans="1:8" ht="15.75" customHeight="1" x14ac:dyDescent="0.2">
      <c r="B26" s="186" t="s">
        <v>200</v>
      </c>
      <c r="C26" s="198">
        <f>+Hjælpeberegner!B25</f>
        <v>0</v>
      </c>
      <c r="D26" s="189"/>
      <c r="E26" s="198">
        <f>IF(E25&gt;E24,0,E24-E25)</f>
        <v>0</v>
      </c>
      <c r="F26" s="182" t="s">
        <v>63</v>
      </c>
    </row>
    <row r="27" spans="1:8" ht="15.75" customHeight="1" x14ac:dyDescent="0.2">
      <c r="B27" s="186"/>
      <c r="C27" s="243"/>
      <c r="D27" s="189"/>
      <c r="E27" s="215"/>
    </row>
    <row r="28" spans="1:8" ht="18" x14ac:dyDescent="0.2">
      <c r="A28" s="188">
        <v>9</v>
      </c>
      <c r="B28" s="186" t="s">
        <v>104</v>
      </c>
      <c r="C28" s="243"/>
      <c r="D28" s="189"/>
      <c r="E28" s="215"/>
      <c r="F28" s="190"/>
    </row>
    <row r="29" spans="1:8" ht="6.75" customHeight="1" x14ac:dyDescent="0.2">
      <c r="A29" s="188"/>
      <c r="B29" s="186"/>
      <c r="C29" s="243"/>
      <c r="D29" s="189"/>
      <c r="E29" s="215"/>
      <c r="F29" s="190"/>
    </row>
    <row r="30" spans="1:8" ht="15.75" customHeight="1" x14ac:dyDescent="0.2">
      <c r="B30" s="179" t="s">
        <v>201</v>
      </c>
      <c r="C30" s="189">
        <f>+Hjælpeberegner!B28</f>
        <v>88707</v>
      </c>
      <c r="D30" s="189"/>
      <c r="E30" s="194">
        <v>106640</v>
      </c>
      <c r="F30" s="190" t="s">
        <v>197</v>
      </c>
    </row>
    <row r="31" spans="1:8" ht="15.75" customHeight="1" x14ac:dyDescent="0.2">
      <c r="B31" s="179" t="s">
        <v>202</v>
      </c>
      <c r="C31" s="189">
        <f>+Hjælpeberegner!B29</f>
        <v>7067</v>
      </c>
      <c r="D31" s="189"/>
      <c r="E31" s="194">
        <v>0</v>
      </c>
      <c r="F31" s="190" t="s">
        <v>197</v>
      </c>
    </row>
    <row r="32" spans="1:8" ht="15.75" customHeight="1" x14ac:dyDescent="0.2">
      <c r="B32" s="179" t="s">
        <v>463</v>
      </c>
      <c r="C32" s="208">
        <f>+Hjælpeberegner!B30</f>
        <v>17417.806999999997</v>
      </c>
      <c r="D32" s="189"/>
      <c r="E32" s="209">
        <v>17933</v>
      </c>
      <c r="F32" s="190" t="s">
        <v>197</v>
      </c>
    </row>
    <row r="33" spans="1:6" ht="15.75" customHeight="1" x14ac:dyDescent="0.2">
      <c r="B33" s="186" t="s">
        <v>204</v>
      </c>
      <c r="C33" s="239">
        <f>+Hjælpeberegner!B31</f>
        <v>64222.192999999999</v>
      </c>
      <c r="D33" s="189"/>
      <c r="E33" s="198">
        <f>+E30-E31-E32</f>
        <v>88707</v>
      </c>
      <c r="F33" s="182" t="s">
        <v>63</v>
      </c>
    </row>
    <row r="34" spans="1:6" x14ac:dyDescent="0.2">
      <c r="C34" s="189"/>
      <c r="D34" s="189"/>
      <c r="E34" s="189"/>
    </row>
    <row r="35" spans="1:6" ht="18" x14ac:dyDescent="0.2">
      <c r="A35" s="188">
        <v>10</v>
      </c>
      <c r="B35" s="186" t="s">
        <v>497</v>
      </c>
      <c r="C35" s="189"/>
      <c r="D35" s="189"/>
      <c r="E35" s="189"/>
    </row>
    <row r="36" spans="1:6" ht="6.75" customHeight="1" x14ac:dyDescent="0.2">
      <c r="A36" s="188"/>
      <c r="B36" s="186"/>
      <c r="C36" s="189"/>
      <c r="D36" s="189"/>
      <c r="E36" s="189"/>
    </row>
    <row r="37" spans="1:6" ht="15.75" customHeight="1" x14ac:dyDescent="0.2">
      <c r="B37" s="179" t="s">
        <v>205</v>
      </c>
      <c r="C37" s="241">
        <f>+Hjælpeberegner!B35</f>
        <v>24484.806999999997</v>
      </c>
      <c r="D37" s="189"/>
      <c r="E37" s="194">
        <v>17933</v>
      </c>
      <c r="F37" s="190" t="s">
        <v>197</v>
      </c>
    </row>
    <row r="38" spans="1:6" ht="15.75" customHeight="1" x14ac:dyDescent="0.2">
      <c r="B38" s="251" t="s">
        <v>464</v>
      </c>
      <c r="C38" s="241">
        <f>+Hjælpeberegner!B36</f>
        <v>7067</v>
      </c>
      <c r="D38" s="189"/>
      <c r="E38" s="194">
        <v>0</v>
      </c>
      <c r="F38" s="190" t="s">
        <v>197</v>
      </c>
    </row>
    <row r="39" spans="1:6" ht="15.75" customHeight="1" x14ac:dyDescent="0.2">
      <c r="B39" s="179" t="s">
        <v>207</v>
      </c>
      <c r="C39" s="240">
        <f>+Hjælpeberegner!B37</f>
        <v>0</v>
      </c>
      <c r="D39" s="189"/>
      <c r="E39" s="194">
        <v>0</v>
      </c>
      <c r="F39" s="190" t="s">
        <v>197</v>
      </c>
    </row>
    <row r="40" spans="1:6" ht="15.75" customHeight="1" x14ac:dyDescent="0.2">
      <c r="B40" s="186" t="s">
        <v>498</v>
      </c>
      <c r="C40" s="239">
        <f>+Hjælpeberegner!B38</f>
        <v>17417.806999999997</v>
      </c>
      <c r="D40" s="189"/>
      <c r="E40" s="198">
        <f>+E37-E38-E39</f>
        <v>17933</v>
      </c>
      <c r="F40" s="182" t="s">
        <v>63</v>
      </c>
    </row>
    <row r="41" spans="1:6" x14ac:dyDescent="0.2">
      <c r="C41" s="189"/>
      <c r="D41" s="189"/>
      <c r="E41" s="189"/>
    </row>
    <row r="42" spans="1:6" x14ac:dyDescent="0.2">
      <c r="C42" s="189"/>
      <c r="D42" s="189"/>
      <c r="E42" s="189"/>
    </row>
    <row r="43" spans="1:6" x14ac:dyDescent="0.2">
      <c r="C43" s="189"/>
      <c r="D43" s="189"/>
      <c r="E43" s="189"/>
    </row>
    <row r="45" spans="1:6" x14ac:dyDescent="0.2">
      <c r="C45" s="189"/>
      <c r="D45" s="189"/>
      <c r="E45" s="189"/>
    </row>
    <row r="46" spans="1:6" x14ac:dyDescent="0.2">
      <c r="C46" s="189"/>
      <c r="D46" s="189"/>
      <c r="E46" s="189"/>
    </row>
    <row r="47" spans="1:6" x14ac:dyDescent="0.2">
      <c r="A47" s="298" t="s">
        <v>209</v>
      </c>
      <c r="B47" s="298"/>
      <c r="C47" s="298"/>
      <c r="D47" s="298"/>
      <c r="E47" s="298"/>
    </row>
    <row r="49" spans="1:6" ht="18" x14ac:dyDescent="0.2">
      <c r="A49" s="188">
        <v>11</v>
      </c>
      <c r="B49" s="252" t="s">
        <v>110</v>
      </c>
      <c r="F49" s="182" t="s">
        <v>210</v>
      </c>
    </row>
    <row r="50" spans="1:6" ht="6.75" customHeight="1" x14ac:dyDescent="0.2">
      <c r="A50" s="188"/>
      <c r="B50" s="252"/>
      <c r="F50" s="182"/>
    </row>
    <row r="51" spans="1:6" ht="15.75" customHeight="1" x14ac:dyDescent="0.2">
      <c r="A51" s="185"/>
      <c r="B51" s="253" t="s">
        <v>593</v>
      </c>
      <c r="C51" s="194">
        <v>5622</v>
      </c>
      <c r="D51" s="189"/>
      <c r="E51" s="194">
        <v>5611</v>
      </c>
      <c r="F51" s="182" t="s">
        <v>211</v>
      </c>
    </row>
    <row r="52" spans="1:6" ht="15.75" customHeight="1" x14ac:dyDescent="0.2">
      <c r="B52" s="253" t="s">
        <v>503</v>
      </c>
      <c r="C52" s="194">
        <v>0</v>
      </c>
      <c r="D52" s="189"/>
      <c r="E52" s="194">
        <v>0</v>
      </c>
      <c r="F52" s="182" t="s">
        <v>211</v>
      </c>
    </row>
    <row r="53" spans="1:6" ht="15.75" customHeight="1" x14ac:dyDescent="0.2">
      <c r="B53" s="253" t="s">
        <v>502</v>
      </c>
      <c r="C53" s="194">
        <v>0</v>
      </c>
      <c r="D53" s="189"/>
      <c r="E53" s="194">
        <v>0</v>
      </c>
      <c r="F53" s="182" t="s">
        <v>211</v>
      </c>
    </row>
    <row r="54" spans="1:6" ht="15.75" customHeight="1" x14ac:dyDescent="0.2">
      <c r="B54" s="253" t="s">
        <v>212</v>
      </c>
      <c r="C54" s="194">
        <v>0</v>
      </c>
      <c r="D54" s="189"/>
      <c r="E54" s="194">
        <v>0</v>
      </c>
      <c r="F54" s="182" t="s">
        <v>211</v>
      </c>
    </row>
    <row r="55" spans="1:6" ht="15.75" customHeight="1" x14ac:dyDescent="0.2">
      <c r="B55" s="253" t="s">
        <v>213</v>
      </c>
      <c r="C55" s="194">
        <v>0</v>
      </c>
      <c r="D55" s="189"/>
      <c r="E55" s="194">
        <v>0</v>
      </c>
      <c r="F55" s="182" t="s">
        <v>211</v>
      </c>
    </row>
    <row r="56" spans="1:6" ht="15.75" customHeight="1" x14ac:dyDescent="0.2">
      <c r="B56" s="253" t="s">
        <v>214</v>
      </c>
      <c r="C56" s="194">
        <v>0</v>
      </c>
      <c r="D56" s="189"/>
      <c r="E56" s="194">
        <v>0</v>
      </c>
      <c r="F56" s="182" t="s">
        <v>211</v>
      </c>
    </row>
    <row r="57" spans="1:6" ht="15.75" customHeight="1" x14ac:dyDescent="0.2">
      <c r="B57" s="253" t="s">
        <v>215</v>
      </c>
      <c r="C57" s="194">
        <v>0</v>
      </c>
      <c r="D57" s="189"/>
      <c r="E57" s="194">
        <v>0</v>
      </c>
      <c r="F57" s="182" t="s">
        <v>211</v>
      </c>
    </row>
    <row r="58" spans="1:6" ht="15.75" customHeight="1" x14ac:dyDescent="0.2">
      <c r="B58" s="253" t="s">
        <v>216</v>
      </c>
      <c r="C58" s="194">
        <v>0</v>
      </c>
      <c r="D58" s="189"/>
      <c r="E58" s="194">
        <v>0</v>
      </c>
      <c r="F58" s="182" t="s">
        <v>211</v>
      </c>
    </row>
    <row r="59" spans="1:6" ht="15.75" customHeight="1" x14ac:dyDescent="0.2">
      <c r="B59" s="253" t="s">
        <v>217</v>
      </c>
      <c r="C59" s="194">
        <v>0</v>
      </c>
      <c r="D59" s="189"/>
      <c r="E59" s="194">
        <v>0</v>
      </c>
      <c r="F59" s="182" t="s">
        <v>211</v>
      </c>
    </row>
    <row r="60" spans="1:6" ht="15.75" customHeight="1" x14ac:dyDescent="0.2">
      <c r="B60" s="253" t="s">
        <v>218</v>
      </c>
      <c r="C60" s="194">
        <v>0</v>
      </c>
      <c r="D60" s="189"/>
      <c r="E60" s="194">
        <v>0</v>
      </c>
      <c r="F60" s="182" t="s">
        <v>211</v>
      </c>
    </row>
    <row r="61" spans="1:6" ht="15.75" customHeight="1" x14ac:dyDescent="0.2">
      <c r="B61" s="253" t="s">
        <v>219</v>
      </c>
      <c r="C61" s="194">
        <v>0</v>
      </c>
      <c r="D61" s="189"/>
      <c r="E61" s="194">
        <v>0</v>
      </c>
      <c r="F61" s="182" t="s">
        <v>211</v>
      </c>
    </row>
    <row r="62" spans="1:6" ht="15.75" customHeight="1" x14ac:dyDescent="0.2">
      <c r="B62" s="253" t="s">
        <v>220</v>
      </c>
      <c r="C62" s="194">
        <v>0</v>
      </c>
      <c r="D62" s="189"/>
      <c r="E62" s="194">
        <v>0</v>
      </c>
      <c r="F62" s="182" t="s">
        <v>211</v>
      </c>
    </row>
    <row r="63" spans="1:6" ht="15.75" customHeight="1" x14ac:dyDescent="0.2">
      <c r="B63" s="253" t="s">
        <v>221</v>
      </c>
      <c r="C63" s="194">
        <v>0</v>
      </c>
      <c r="D63" s="189"/>
      <c r="E63" s="194">
        <v>0</v>
      </c>
      <c r="F63" s="182" t="s">
        <v>211</v>
      </c>
    </row>
    <row r="64" spans="1:6" ht="15.75" customHeight="1" x14ac:dyDescent="0.2">
      <c r="B64" s="253" t="s">
        <v>222</v>
      </c>
      <c r="C64" s="194">
        <v>0</v>
      </c>
      <c r="D64" s="189"/>
      <c r="E64" s="194">
        <v>0</v>
      </c>
      <c r="F64" s="182" t="s">
        <v>211</v>
      </c>
    </row>
    <row r="65" spans="1:8" ht="15.75" customHeight="1" x14ac:dyDescent="0.2">
      <c r="B65" s="253" t="s">
        <v>223</v>
      </c>
      <c r="C65" s="194">
        <v>0</v>
      </c>
      <c r="D65" s="189"/>
      <c r="E65" s="194">
        <v>0</v>
      </c>
      <c r="F65" s="182" t="s">
        <v>211</v>
      </c>
    </row>
    <row r="66" spans="1:8" ht="15.75" customHeight="1" x14ac:dyDescent="0.2">
      <c r="B66" s="253" t="s">
        <v>224</v>
      </c>
      <c r="C66" s="194">
        <v>0</v>
      </c>
      <c r="D66" s="189"/>
      <c r="E66" s="194">
        <v>0</v>
      </c>
      <c r="F66" s="182" t="s">
        <v>211</v>
      </c>
    </row>
    <row r="67" spans="1:8" ht="15.75" customHeight="1" x14ac:dyDescent="0.2">
      <c r="B67" s="253" t="s">
        <v>225</v>
      </c>
      <c r="C67" s="194">
        <v>0</v>
      </c>
      <c r="D67" s="189"/>
      <c r="E67" s="194">
        <v>0</v>
      </c>
      <c r="F67" s="182" t="s">
        <v>211</v>
      </c>
    </row>
    <row r="68" spans="1:8" ht="15.75" customHeight="1" x14ac:dyDescent="0.2">
      <c r="B68" s="253" t="s">
        <v>226</v>
      </c>
      <c r="C68" s="194">
        <v>0</v>
      </c>
      <c r="D68" s="189"/>
      <c r="E68" s="194">
        <v>0</v>
      </c>
      <c r="F68" s="182" t="s">
        <v>211</v>
      </c>
    </row>
    <row r="69" spans="1:8" ht="15.75" customHeight="1" x14ac:dyDescent="0.2">
      <c r="B69" s="253" t="s">
        <v>227</v>
      </c>
      <c r="C69" s="194">
        <v>0</v>
      </c>
      <c r="D69" s="189"/>
      <c r="E69" s="194">
        <v>0</v>
      </c>
      <c r="F69" s="182" t="s">
        <v>211</v>
      </c>
    </row>
    <row r="70" spans="1:8" ht="15.75" customHeight="1" thickBot="1" x14ac:dyDescent="0.25">
      <c r="B70" s="253" t="s">
        <v>228</v>
      </c>
      <c r="C70" s="194">
        <v>0</v>
      </c>
      <c r="D70" s="189"/>
      <c r="E70" s="194">
        <v>0</v>
      </c>
      <c r="F70" s="182" t="s">
        <v>211</v>
      </c>
    </row>
    <row r="71" spans="1:8" ht="15.75" customHeight="1" thickBot="1" x14ac:dyDescent="0.25">
      <c r="B71" s="186" t="s">
        <v>229</v>
      </c>
      <c r="C71" s="198">
        <f>SUM(C51:C70)</f>
        <v>5622</v>
      </c>
      <c r="D71" s="189"/>
      <c r="E71" s="198">
        <f>SUM(E51:E70)</f>
        <v>5611</v>
      </c>
      <c r="F71" s="300" t="s">
        <v>230</v>
      </c>
      <c r="G71" s="301"/>
      <c r="H71" s="302"/>
    </row>
    <row r="72" spans="1:8" ht="15.75" customHeight="1" x14ac:dyDescent="0.2">
      <c r="F72" s="220" t="s">
        <v>231</v>
      </c>
      <c r="G72" s="221"/>
      <c r="H72" s="254">
        <f>+C71</f>
        <v>5622</v>
      </c>
    </row>
    <row r="73" spans="1:8" ht="15.75" customHeight="1" thickBot="1" x14ac:dyDescent="0.25">
      <c r="F73" s="220" t="s">
        <v>232</v>
      </c>
      <c r="G73" s="221"/>
      <c r="H73" s="254">
        <f>-'Faktisk &amp; Budget'!E161</f>
        <v>5622</v>
      </c>
    </row>
    <row r="74" spans="1:8" ht="15.75" customHeight="1" thickBot="1" x14ac:dyDescent="0.25">
      <c r="A74" s="191"/>
      <c r="B74" s="191"/>
      <c r="C74" s="191"/>
      <c r="D74" s="191"/>
      <c r="E74" s="191"/>
      <c r="F74" s="255" t="s">
        <v>79</v>
      </c>
      <c r="G74" s="224"/>
      <c r="H74" s="256">
        <f>ROUND((H72-H73),0)</f>
        <v>0</v>
      </c>
    </row>
    <row r="86" spans="1:5" x14ac:dyDescent="0.2">
      <c r="A86" s="298" t="s">
        <v>233</v>
      </c>
      <c r="B86" s="298"/>
      <c r="C86" s="298"/>
      <c r="D86" s="298"/>
      <c r="E86" s="298"/>
    </row>
  </sheetData>
  <sheetProtection algorithmName="SHA-512" hashValue="QX5GDvxhErWVpKElXRkpX12Dt2A9ffRglzsPCz51P/EjUv0D1Gs/8BJOZVTBpFw29VLrnlKSCgROLZRGLBbapA==" saltValue="x+XNvnYWuuysTWYZJ00GPw==" spinCount="100000" sheet="1" objects="1" scenarios="1"/>
  <mergeCells count="4">
    <mergeCell ref="A86:E86"/>
    <mergeCell ref="A47:E47"/>
    <mergeCell ref="F71:H71"/>
    <mergeCell ref="A5:E5"/>
  </mergeCells>
  <conditionalFormatting sqref="H74">
    <cfRule type="cellIs" dxfId="9" priority="1" operator="lessThan">
      <formula>0</formula>
    </cfRule>
    <cfRule type="cellIs" dxfId="8" priority="2" operator="greaterThan">
      <formula>0</formula>
    </cfRule>
    <cfRule type="cellIs" dxfId="7" priority="5" operator="equal">
      <formula>0</formula>
    </cfRule>
  </conditionalFormatting>
  <printOptions horizontalCentered="1"/>
  <pageMargins left="0.7" right="0.7" top="0.75" bottom="0.75" header="0.3" footer="0.3"/>
  <pageSetup paperSize="9" orientation="portrait" r:id="rId1"/>
  <rowBreaks count="1" manualBreakCount="1">
    <brk id="48"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74"/>
  <sheetViews>
    <sheetView zoomScale="90" zoomScaleNormal="90" workbookViewId="0">
      <selection activeCell="B18" sqref="B18"/>
    </sheetView>
  </sheetViews>
  <sheetFormatPr defaultColWidth="9.140625" defaultRowHeight="15" x14ac:dyDescent="0.3"/>
  <cols>
    <col min="1" max="1" width="3.28515625" style="257" customWidth="1"/>
    <col min="2" max="2" width="86" style="257" customWidth="1"/>
    <col min="3" max="16384" width="9.140625" style="257"/>
  </cols>
  <sheetData>
    <row r="1" spans="1:2" x14ac:dyDescent="0.3">
      <c r="A1" s="25"/>
      <c r="B1" s="25"/>
    </row>
    <row r="2" spans="1:2" x14ac:dyDescent="0.3">
      <c r="A2" s="25"/>
      <c r="B2" s="25"/>
    </row>
    <row r="3" spans="1:2" x14ac:dyDescent="0.3">
      <c r="A3" s="25"/>
      <c r="B3" s="25"/>
    </row>
    <row r="4" spans="1:2" ht="18.75" thickBot="1" x14ac:dyDescent="0.4">
      <c r="A4" s="258" t="s">
        <v>247</v>
      </c>
      <c r="B4" s="26"/>
    </row>
    <row r="5" spans="1:2" x14ac:dyDescent="0.3">
      <c r="A5" s="25"/>
      <c r="B5" s="25"/>
    </row>
    <row r="6" spans="1:2" ht="18" x14ac:dyDescent="0.35">
      <c r="A6" s="27" t="s">
        <v>248</v>
      </c>
      <c r="B6" s="25"/>
    </row>
    <row r="7" spans="1:2" x14ac:dyDescent="0.3">
      <c r="A7" s="25"/>
      <c r="B7" s="25"/>
    </row>
    <row r="8" spans="1:2" x14ac:dyDescent="0.3">
      <c r="A8" s="259" t="s">
        <v>234</v>
      </c>
      <c r="B8" s="259" t="s">
        <v>249</v>
      </c>
    </row>
    <row r="9" spans="1:2" ht="15" customHeight="1" x14ac:dyDescent="0.3">
      <c r="A9" s="29" t="s">
        <v>235</v>
      </c>
      <c r="B9" s="262" t="s">
        <v>514</v>
      </c>
    </row>
    <row r="10" spans="1:2" ht="15" customHeight="1" x14ac:dyDescent="0.3">
      <c r="A10" s="29"/>
      <c r="B10" s="262"/>
    </row>
    <row r="11" spans="1:2" ht="15" customHeight="1" x14ac:dyDescent="0.3">
      <c r="A11" s="259" t="s">
        <v>239</v>
      </c>
      <c r="B11" s="259" t="s">
        <v>486</v>
      </c>
    </row>
    <row r="12" spans="1:2" ht="15" customHeight="1" x14ac:dyDescent="0.3">
      <c r="A12" s="29" t="s">
        <v>236</v>
      </c>
      <c r="B12" s="262" t="s">
        <v>237</v>
      </c>
    </row>
    <row r="13" spans="1:2" ht="29.25" customHeight="1" x14ac:dyDescent="0.3">
      <c r="A13" s="29" t="s">
        <v>238</v>
      </c>
      <c r="B13" s="263" t="s">
        <v>250</v>
      </c>
    </row>
    <row r="14" spans="1:2" ht="35.25" customHeight="1" x14ac:dyDescent="0.3">
      <c r="A14" s="29" t="s">
        <v>243</v>
      </c>
      <c r="B14" s="263" t="s">
        <v>466</v>
      </c>
    </row>
    <row r="15" spans="1:2" x14ac:dyDescent="0.3">
      <c r="A15" s="29"/>
      <c r="B15" s="262"/>
    </row>
    <row r="16" spans="1:2" x14ac:dyDescent="0.3">
      <c r="A16" s="259" t="s">
        <v>262</v>
      </c>
      <c r="B16" s="264" t="s">
        <v>468</v>
      </c>
    </row>
    <row r="17" spans="1:2" ht="15" customHeight="1" x14ac:dyDescent="0.3">
      <c r="A17" s="29" t="s">
        <v>235</v>
      </c>
      <c r="B17" s="262" t="s">
        <v>467</v>
      </c>
    </row>
    <row r="18" spans="1:2" ht="15" customHeight="1" x14ac:dyDescent="0.3">
      <c r="A18" s="29" t="s">
        <v>236</v>
      </c>
      <c r="B18" s="262" t="s">
        <v>510</v>
      </c>
    </row>
    <row r="19" spans="1:2" ht="15" customHeight="1" x14ac:dyDescent="0.3">
      <c r="A19" s="29" t="s">
        <v>238</v>
      </c>
      <c r="B19" s="262" t="s">
        <v>251</v>
      </c>
    </row>
    <row r="20" spans="1:2" ht="15" customHeight="1" x14ac:dyDescent="0.3">
      <c r="A20" s="29" t="s">
        <v>243</v>
      </c>
      <c r="B20" s="262" t="s">
        <v>252</v>
      </c>
    </row>
    <row r="21" spans="1:2" ht="15" customHeight="1" x14ac:dyDescent="0.3">
      <c r="A21" s="29" t="s">
        <v>253</v>
      </c>
      <c r="B21" s="262" t="s">
        <v>254</v>
      </c>
    </row>
    <row r="22" spans="1:2" ht="15" customHeight="1" x14ac:dyDescent="0.3">
      <c r="A22" s="29" t="s">
        <v>255</v>
      </c>
      <c r="B22" s="265" t="s">
        <v>511</v>
      </c>
    </row>
    <row r="23" spans="1:2" ht="15" customHeight="1" x14ac:dyDescent="0.3">
      <c r="A23" s="29" t="s">
        <v>256</v>
      </c>
      <c r="B23" s="262" t="s">
        <v>512</v>
      </c>
    </row>
    <row r="24" spans="1:2" ht="15" customHeight="1" x14ac:dyDescent="0.3">
      <c r="A24" s="29" t="s">
        <v>257</v>
      </c>
      <c r="B24" s="262" t="s">
        <v>513</v>
      </c>
    </row>
    <row r="25" spans="1:2" ht="15" customHeight="1" x14ac:dyDescent="0.3">
      <c r="A25" s="29" t="s">
        <v>258</v>
      </c>
      <c r="B25" s="262" t="s">
        <v>259</v>
      </c>
    </row>
    <row r="26" spans="1:2" ht="30.75" customHeight="1" x14ac:dyDescent="0.3">
      <c r="A26" s="29" t="s">
        <v>260</v>
      </c>
      <c r="B26" s="263" t="s">
        <v>261</v>
      </c>
    </row>
    <row r="27" spans="1:2" x14ac:dyDescent="0.3">
      <c r="A27" s="29"/>
      <c r="B27" s="262"/>
    </row>
    <row r="28" spans="1:2" x14ac:dyDescent="0.3">
      <c r="A28" s="259" t="s">
        <v>244</v>
      </c>
      <c r="B28" s="264" t="s">
        <v>469</v>
      </c>
    </row>
    <row r="29" spans="1:2" ht="15" customHeight="1" x14ac:dyDescent="0.3">
      <c r="A29" s="29" t="s">
        <v>242</v>
      </c>
      <c r="B29" s="262" t="s">
        <v>252</v>
      </c>
    </row>
    <row r="30" spans="1:2" ht="15" customHeight="1" x14ac:dyDescent="0.3">
      <c r="A30" s="29" t="s">
        <v>240</v>
      </c>
      <c r="B30" s="263" t="s">
        <v>263</v>
      </c>
    </row>
    <row r="31" spans="1:2" ht="15" customHeight="1" x14ac:dyDescent="0.3">
      <c r="A31" s="29" t="s">
        <v>238</v>
      </c>
      <c r="B31" s="262" t="s">
        <v>264</v>
      </c>
    </row>
    <row r="32" spans="1:2" ht="15" customHeight="1" x14ac:dyDescent="0.3">
      <c r="A32" s="29" t="s">
        <v>243</v>
      </c>
      <c r="B32" s="263" t="s">
        <v>265</v>
      </c>
    </row>
    <row r="33" spans="1:10" ht="15" customHeight="1" x14ac:dyDescent="0.3">
      <c r="A33" s="29" t="s">
        <v>253</v>
      </c>
      <c r="B33" s="262" t="s">
        <v>266</v>
      </c>
    </row>
    <row r="34" spans="1:10" ht="15" customHeight="1" x14ac:dyDescent="0.3">
      <c r="A34" s="29" t="s">
        <v>255</v>
      </c>
      <c r="B34" s="263" t="s">
        <v>267</v>
      </c>
    </row>
    <row r="35" spans="1:10" ht="15" customHeight="1" x14ac:dyDescent="0.3">
      <c r="A35" s="29" t="s">
        <v>256</v>
      </c>
      <c r="B35" s="262" t="s">
        <v>268</v>
      </c>
    </row>
    <row r="36" spans="1:10" ht="15" customHeight="1" x14ac:dyDescent="0.3">
      <c r="A36" s="29" t="s">
        <v>257</v>
      </c>
      <c r="B36" s="263" t="s">
        <v>269</v>
      </c>
    </row>
    <row r="37" spans="1:10" x14ac:dyDescent="0.3">
      <c r="A37" s="29"/>
      <c r="B37" s="262"/>
    </row>
    <row r="38" spans="1:10" x14ac:dyDescent="0.3">
      <c r="A38" s="259" t="s">
        <v>275</v>
      </c>
      <c r="B38" s="259" t="s">
        <v>241</v>
      </c>
    </row>
    <row r="39" spans="1:10" ht="15" customHeight="1" x14ac:dyDescent="0.3">
      <c r="A39" s="29" t="s">
        <v>235</v>
      </c>
      <c r="B39" s="262" t="s">
        <v>270</v>
      </c>
    </row>
    <row r="40" spans="1:10" ht="30.75" customHeight="1" x14ac:dyDescent="0.3">
      <c r="A40" s="29" t="s">
        <v>240</v>
      </c>
      <c r="B40" s="263" t="s">
        <v>271</v>
      </c>
    </row>
    <row r="41" spans="1:10" ht="15" customHeight="1" x14ac:dyDescent="0.3">
      <c r="A41" s="29" t="s">
        <v>238</v>
      </c>
      <c r="B41" s="263" t="s">
        <v>272</v>
      </c>
      <c r="C41" s="266"/>
      <c r="D41" s="266"/>
      <c r="E41" s="266"/>
      <c r="F41" s="266"/>
      <c r="G41" s="266"/>
      <c r="H41" s="266"/>
      <c r="I41" s="266"/>
      <c r="J41" s="266"/>
    </row>
    <row r="42" spans="1:10" ht="15" customHeight="1" x14ac:dyDescent="0.3">
      <c r="A42" s="29" t="s">
        <v>243</v>
      </c>
      <c r="B42" s="263" t="s">
        <v>273</v>
      </c>
      <c r="C42" s="266"/>
      <c r="D42" s="266"/>
      <c r="E42" s="266"/>
      <c r="F42" s="266"/>
      <c r="G42" s="266"/>
      <c r="H42" s="266"/>
      <c r="I42" s="266"/>
      <c r="J42" s="266"/>
    </row>
    <row r="43" spans="1:10" ht="47.25" customHeight="1" x14ac:dyDescent="0.3">
      <c r="A43" s="29" t="s">
        <v>253</v>
      </c>
      <c r="B43" s="263" t="s">
        <v>274</v>
      </c>
      <c r="C43" s="266"/>
      <c r="D43" s="266"/>
      <c r="E43" s="266"/>
      <c r="F43" s="266"/>
      <c r="G43" s="266"/>
      <c r="H43" s="266"/>
      <c r="I43" s="266"/>
      <c r="J43" s="266"/>
    </row>
    <row r="44" spans="1:10" x14ac:dyDescent="0.3">
      <c r="A44" s="29"/>
      <c r="B44" s="263"/>
      <c r="C44" s="266"/>
      <c r="D44" s="266"/>
      <c r="E44" s="266"/>
      <c r="F44" s="266"/>
      <c r="G44" s="266"/>
      <c r="H44" s="266"/>
      <c r="I44" s="266"/>
      <c r="J44" s="266"/>
    </row>
    <row r="45" spans="1:10" s="230" customFormat="1" ht="15" customHeight="1" x14ac:dyDescent="0.2">
      <c r="A45" s="259" t="s">
        <v>246</v>
      </c>
      <c r="B45" s="259" t="s">
        <v>470</v>
      </c>
      <c r="E45" s="261"/>
      <c r="F45" s="261"/>
      <c r="G45" s="261"/>
      <c r="H45" s="261"/>
      <c r="I45" s="261"/>
      <c r="J45" s="261"/>
    </row>
    <row r="46" spans="1:10" s="230" customFormat="1" ht="15" customHeight="1" x14ac:dyDescent="0.2">
      <c r="A46" s="29" t="s">
        <v>242</v>
      </c>
      <c r="B46" s="30" t="s">
        <v>471</v>
      </c>
      <c r="C46" s="260"/>
      <c r="D46" s="260"/>
      <c r="E46" s="260"/>
      <c r="F46" s="260"/>
      <c r="G46" s="260"/>
      <c r="H46" s="260"/>
      <c r="I46" s="260"/>
      <c r="J46" s="260"/>
    </row>
    <row r="47" spans="1:10" s="230" customFormat="1" ht="30.75" customHeight="1" x14ac:dyDescent="0.2">
      <c r="A47" s="29" t="s">
        <v>240</v>
      </c>
      <c r="B47" s="30" t="s">
        <v>472</v>
      </c>
      <c r="C47" s="260"/>
      <c r="D47" s="260"/>
      <c r="E47" s="260"/>
      <c r="F47" s="260"/>
      <c r="G47" s="260"/>
      <c r="H47" s="260"/>
      <c r="I47" s="260"/>
      <c r="J47" s="260"/>
    </row>
    <row r="48" spans="1:10" s="230" customFormat="1" x14ac:dyDescent="0.2">
      <c r="A48" s="29" t="s">
        <v>238</v>
      </c>
      <c r="B48" s="30" t="s">
        <v>473</v>
      </c>
    </row>
    <row r="49" spans="1:10" s="230" customFormat="1" ht="30" x14ac:dyDescent="0.2">
      <c r="A49" s="29" t="s">
        <v>243</v>
      </c>
      <c r="B49" s="30" t="s">
        <v>474</v>
      </c>
    </row>
    <row r="50" spans="1:10" x14ac:dyDescent="0.3">
      <c r="A50" s="29"/>
      <c r="B50" s="263"/>
      <c r="C50" s="266"/>
      <c r="D50" s="266"/>
      <c r="E50" s="266"/>
      <c r="F50" s="266"/>
      <c r="G50" s="266"/>
      <c r="H50" s="266"/>
      <c r="I50" s="266"/>
      <c r="J50" s="266"/>
    </row>
    <row r="51" spans="1:10" x14ac:dyDescent="0.3">
      <c r="A51" s="259" t="s">
        <v>281</v>
      </c>
      <c r="B51" s="264" t="s">
        <v>276</v>
      </c>
    </row>
    <row r="52" spans="1:10" ht="15" customHeight="1" x14ac:dyDescent="0.3">
      <c r="A52" s="29" t="s">
        <v>242</v>
      </c>
      <c r="B52" s="262" t="s">
        <v>245</v>
      </c>
    </row>
    <row r="53" spans="1:10" ht="46.5" customHeight="1" x14ac:dyDescent="0.3">
      <c r="A53" s="29" t="s">
        <v>240</v>
      </c>
      <c r="B53" s="263" t="s">
        <v>277</v>
      </c>
      <c r="C53" s="266"/>
      <c r="D53" s="266"/>
      <c r="E53" s="266"/>
      <c r="F53" s="266"/>
      <c r="G53" s="266"/>
      <c r="H53" s="266"/>
      <c r="I53" s="266"/>
      <c r="J53" s="266"/>
    </row>
    <row r="54" spans="1:10" x14ac:dyDescent="0.3">
      <c r="A54" s="29"/>
      <c r="B54" s="263"/>
      <c r="C54" s="266"/>
      <c r="D54" s="266"/>
      <c r="E54" s="266"/>
      <c r="F54" s="266"/>
      <c r="G54" s="266"/>
      <c r="H54" s="266"/>
      <c r="I54" s="266"/>
      <c r="J54" s="266"/>
    </row>
    <row r="55" spans="1:10" x14ac:dyDescent="0.3">
      <c r="A55" s="259" t="s">
        <v>478</v>
      </c>
      <c r="B55" s="264" t="s">
        <v>475</v>
      </c>
    </row>
    <row r="56" spans="1:10" ht="15" customHeight="1" x14ac:dyDescent="0.3">
      <c r="A56" s="29" t="s">
        <v>242</v>
      </c>
      <c r="B56" s="262" t="s">
        <v>476</v>
      </c>
      <c r="C56" s="267"/>
      <c r="D56" s="267"/>
      <c r="E56" s="267"/>
      <c r="F56" s="267"/>
      <c r="G56" s="267"/>
      <c r="H56" s="267"/>
      <c r="I56" s="267"/>
      <c r="J56" s="267"/>
    </row>
    <row r="57" spans="1:10" ht="15" customHeight="1" x14ac:dyDescent="0.3">
      <c r="A57" s="29" t="s">
        <v>240</v>
      </c>
      <c r="B57" s="262" t="s">
        <v>477</v>
      </c>
      <c r="C57" s="267"/>
      <c r="D57" s="267"/>
      <c r="E57" s="267"/>
      <c r="F57" s="267"/>
      <c r="G57" s="267"/>
      <c r="H57" s="267"/>
      <c r="I57" s="267"/>
      <c r="J57" s="267"/>
    </row>
    <row r="58" spans="1:10" ht="32.25" customHeight="1" x14ac:dyDescent="0.3">
      <c r="A58" s="29" t="s">
        <v>238</v>
      </c>
      <c r="B58" s="263" t="s">
        <v>278</v>
      </c>
      <c r="C58" s="266"/>
      <c r="D58" s="266"/>
      <c r="E58" s="266"/>
      <c r="F58" s="266"/>
      <c r="G58" s="266"/>
      <c r="H58" s="266"/>
      <c r="I58" s="266"/>
      <c r="J58" s="266"/>
    </row>
    <row r="59" spans="1:10" x14ac:dyDescent="0.3">
      <c r="A59" s="29"/>
      <c r="B59" s="263"/>
      <c r="C59" s="266"/>
      <c r="D59" s="266"/>
      <c r="E59" s="266"/>
      <c r="F59" s="266"/>
      <c r="G59" s="266"/>
      <c r="H59" s="266"/>
      <c r="I59" s="266"/>
      <c r="J59" s="266"/>
    </row>
    <row r="60" spans="1:10" x14ac:dyDescent="0.3">
      <c r="A60" s="259" t="s">
        <v>483</v>
      </c>
      <c r="B60" s="264" t="s">
        <v>479</v>
      </c>
    </row>
    <row r="61" spans="1:10" ht="31.5" customHeight="1" x14ac:dyDescent="0.3">
      <c r="A61" s="29" t="s">
        <v>242</v>
      </c>
      <c r="B61" s="263" t="s">
        <v>480</v>
      </c>
      <c r="C61" s="266"/>
      <c r="D61" s="266"/>
      <c r="E61" s="266"/>
      <c r="F61" s="266"/>
      <c r="G61" s="266"/>
      <c r="H61" s="266"/>
      <c r="I61" s="266"/>
      <c r="J61" s="266"/>
    </row>
    <row r="62" spans="1:10" ht="33.75" customHeight="1" x14ac:dyDescent="0.3">
      <c r="A62" s="29" t="s">
        <v>240</v>
      </c>
      <c r="B62" s="268" t="s">
        <v>279</v>
      </c>
      <c r="C62" s="269"/>
      <c r="D62" s="269"/>
      <c r="E62" s="269"/>
      <c r="F62" s="269"/>
      <c r="G62" s="269"/>
      <c r="H62" s="269"/>
      <c r="I62" s="269"/>
      <c r="J62" s="269"/>
    </row>
    <row r="63" spans="1:10" ht="32.25" customHeight="1" x14ac:dyDescent="0.3">
      <c r="A63" s="29" t="s">
        <v>238</v>
      </c>
      <c r="B63" s="268" t="s">
        <v>481</v>
      </c>
      <c r="C63" s="269"/>
      <c r="D63" s="269"/>
      <c r="E63" s="269"/>
      <c r="F63" s="269"/>
      <c r="G63" s="269"/>
      <c r="H63" s="269"/>
      <c r="I63" s="269"/>
      <c r="J63" s="269"/>
    </row>
    <row r="64" spans="1:10" ht="35.25" customHeight="1" x14ac:dyDescent="0.3">
      <c r="A64" s="29" t="s">
        <v>243</v>
      </c>
      <c r="B64" s="268" t="s">
        <v>482</v>
      </c>
      <c r="C64" s="269"/>
      <c r="D64" s="269"/>
      <c r="E64" s="269"/>
      <c r="F64" s="269"/>
      <c r="G64" s="269"/>
      <c r="H64" s="269"/>
      <c r="I64" s="269"/>
      <c r="J64" s="269"/>
    </row>
    <row r="65" spans="1:10" x14ac:dyDescent="0.3">
      <c r="A65" s="29"/>
      <c r="B65" s="262"/>
    </row>
    <row r="66" spans="1:10" x14ac:dyDescent="0.3">
      <c r="A66" s="259" t="s">
        <v>485</v>
      </c>
      <c r="B66" s="264" t="s">
        <v>484</v>
      </c>
    </row>
    <row r="67" spans="1:10" ht="29.25" customHeight="1" x14ac:dyDescent="0.3">
      <c r="A67" s="29" t="s">
        <v>242</v>
      </c>
      <c r="B67" s="263" t="s">
        <v>492</v>
      </c>
      <c r="C67" s="270"/>
      <c r="D67" s="270"/>
      <c r="E67" s="270"/>
      <c r="F67" s="270"/>
      <c r="G67" s="270"/>
      <c r="H67" s="270"/>
      <c r="I67" s="270"/>
      <c r="J67" s="270"/>
    </row>
    <row r="68" spans="1:10" ht="15" customHeight="1" x14ac:dyDescent="0.3">
      <c r="A68" s="29" t="s">
        <v>240</v>
      </c>
      <c r="B68" s="262" t="s">
        <v>280</v>
      </c>
    </row>
    <row r="69" spans="1:10" ht="31.5" customHeight="1" x14ac:dyDescent="0.3">
      <c r="A69" s="29" t="s">
        <v>238</v>
      </c>
      <c r="B69" s="263" t="s">
        <v>493</v>
      </c>
      <c r="C69" s="266"/>
      <c r="D69" s="266"/>
      <c r="E69" s="266"/>
      <c r="F69" s="266"/>
      <c r="G69" s="266"/>
      <c r="H69" s="266"/>
      <c r="I69" s="266"/>
      <c r="J69" s="266"/>
    </row>
    <row r="70" spans="1:10" x14ac:dyDescent="0.3">
      <c r="A70" s="63"/>
      <c r="B70" s="262"/>
      <c r="C70" s="267"/>
      <c r="D70" s="267"/>
      <c r="E70" s="267"/>
      <c r="F70" s="267"/>
      <c r="G70" s="267"/>
      <c r="H70" s="267"/>
      <c r="I70" s="267"/>
      <c r="J70" s="267"/>
    </row>
    <row r="71" spans="1:10" x14ac:dyDescent="0.3">
      <c r="A71" s="259" t="s">
        <v>487</v>
      </c>
      <c r="B71" s="264" t="s">
        <v>282</v>
      </c>
    </row>
    <row r="72" spans="1:10" ht="30.75" customHeight="1" x14ac:dyDescent="0.3">
      <c r="A72" s="29" t="s">
        <v>242</v>
      </c>
      <c r="B72" s="263" t="s">
        <v>283</v>
      </c>
    </row>
    <row r="73" spans="1:10" ht="15" customHeight="1" x14ac:dyDescent="0.3">
      <c r="A73" s="29" t="s">
        <v>240</v>
      </c>
      <c r="B73" s="262" t="s">
        <v>284</v>
      </c>
    </row>
    <row r="74" spans="1:10" x14ac:dyDescent="0.3">
      <c r="A74" s="267"/>
      <c r="B74" s="267"/>
    </row>
  </sheetData>
  <pageMargins left="0.7" right="0.7" top="0.75" bottom="0.75" header="0.3" footer="0.3"/>
  <pageSetup paperSize="9" orientation="portrait" r:id="rId1"/>
  <rowBreaks count="1" manualBreakCount="1">
    <brk id="43" max="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FE116E53422645A751F90C364B7B02" ma:contentTypeVersion="21" ma:contentTypeDescription="Opret et nyt dokument." ma:contentTypeScope="" ma:versionID="2ff1535c362831b25c8b552a0848e7b1">
  <xsd:schema xmlns:xsd="http://www.w3.org/2001/XMLSchema" xmlns:xs="http://www.w3.org/2001/XMLSchema" xmlns:p="http://schemas.microsoft.com/office/2006/metadata/properties" xmlns:ns2="9d15f3b8-8c21-4622-9eef-489e7164882e" xmlns:ns3="10ca99bf-ca5c-42d4-bc6d-d91a5144e622" targetNamespace="http://schemas.microsoft.com/office/2006/metadata/properties" ma:root="true" ma:fieldsID="99329856f29da1e53abf46b097ddc69c" ns2:_="" ns3:_="">
    <xsd:import namespace="9d15f3b8-8c21-4622-9eef-489e7164882e"/>
    <xsd:import namespace="10ca99bf-ca5c-42d4-bc6d-d91a5144e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Samtykkeerkl_x00e6_ring" minOccurs="0"/>
                <xsd:element ref="ns2:MediaServiceObjectDetectorVersions" minOccurs="0"/>
                <xsd:element ref="ns2:MediaServiceSearchProperties" minOccurs="0"/>
                <xsd:element ref="ns2:RFRtjeklis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5f3b8-8c21-4622-9eef-489e7164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63e8b409-a6fa-4bc5-9e3f-de614d7eb243" ma:termSetId="09814cd3-568e-fe90-9814-8d621ff8fb84" ma:anchorId="fba54fb3-c3e1-fe81-a776-ca4b69148c4d" ma:open="true" ma:isKeyword="false">
      <xsd:complexType>
        <xsd:sequence>
          <xsd:element ref="pc:Terms" minOccurs="0" maxOccurs="1"/>
        </xsd:sequence>
      </xsd:complexType>
    </xsd:element>
    <xsd:element name="Samtykkeerkl_x00e6_ring" ma:index="24" nillable="true" ma:displayName="Samtykkeerklæring" ma:description="Ja" ma:format="Dropdown" ma:internalName="Samtykkeerkl_x00e6_ring">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FRtjeklist" ma:index="27" nillable="true" ma:displayName="RFR tjeklist" ma:format="Dropdown" ma:internalName="RFRtjeklis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ca99bf-ca5c-42d4-bc6d-d91a5144e62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b5995f7-3933-4391-9c98-6e56845ff50f}" ma:internalName="TaxCatchAll" ma:showField="CatchAllData" ma:web="10ca99bf-ca5c-42d4-bc6d-d91a5144e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0ca99bf-ca5c-42d4-bc6d-d91a5144e622">
      <UserInfo>
        <DisplayName>Zahoor Illahi Sahibzada</DisplayName>
        <AccountId>33</AccountId>
        <AccountType/>
      </UserInfo>
    </SharedWithUsers>
    <TaxCatchAll xmlns="10ca99bf-ca5c-42d4-bc6d-d91a5144e622" xsi:nil="true"/>
    <lcf76f155ced4ddcb4097134ff3c332f xmlns="9d15f3b8-8c21-4622-9eef-489e7164882e">
      <Terms xmlns="http://schemas.microsoft.com/office/infopath/2007/PartnerControls"/>
    </lcf76f155ced4ddcb4097134ff3c332f>
    <Samtykkeerkl_x00e6_ring xmlns="9d15f3b8-8c21-4622-9eef-489e7164882e" xsi:nil="true"/>
    <RFRtjeklist xmlns="9d15f3b8-8c21-4622-9eef-489e7164882e" xsi:nil="true"/>
  </documentManagement>
</p:properties>
</file>

<file path=customXml/itemProps1.xml><?xml version="1.0" encoding="utf-8"?>
<ds:datastoreItem xmlns:ds="http://schemas.openxmlformats.org/officeDocument/2006/customXml" ds:itemID="{C4551487-FBAD-4454-AC09-152A58BAD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5f3b8-8c21-4622-9eef-489e7164882e"/>
    <ds:schemaRef ds:uri="10ca99bf-ca5c-42d4-bc6d-d91a5144e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C26042-D0E5-4E90-B8CC-ADF3085C21E4}">
  <ds:schemaRefs>
    <ds:schemaRef ds:uri="http://schemas.microsoft.com/sharepoint/v3/contenttype/forms"/>
  </ds:schemaRefs>
</ds:datastoreItem>
</file>

<file path=customXml/itemProps3.xml><?xml version="1.0" encoding="utf-8"?>
<ds:datastoreItem xmlns:ds="http://schemas.openxmlformats.org/officeDocument/2006/customXml" ds:itemID="{A82D0658-F7A6-4413-86C3-AE8E77284381}">
  <ds:schemaRefs>
    <ds:schemaRef ds:uri="http://schemas.microsoft.com/office/2006/metadata/properties"/>
    <ds:schemaRef ds:uri="http://schemas.microsoft.com/office/infopath/2007/PartnerControls"/>
    <ds:schemaRef ds:uri="10ca99bf-ca5c-42d4-bc6d-d91a5144e622"/>
    <ds:schemaRef ds:uri="9d15f3b8-8c21-4622-9eef-489e716488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17</vt:i4>
      </vt:variant>
    </vt:vector>
  </HeadingPairs>
  <TitlesOfParts>
    <vt:vector size="32" baseType="lpstr">
      <vt:lpstr>Forside</vt:lpstr>
      <vt:lpstr>Indhold</vt:lpstr>
      <vt:lpstr>Påtegning</vt:lpstr>
      <vt:lpstr>Regnskabspraksis</vt:lpstr>
      <vt:lpstr>Resultat</vt:lpstr>
      <vt:lpstr>Balance</vt:lpstr>
      <vt:lpstr>Noter resultat</vt:lpstr>
      <vt:lpstr>Noter balance</vt:lpstr>
      <vt:lpstr>Vejledning</vt:lpstr>
      <vt:lpstr>Basisoplysninger</vt:lpstr>
      <vt:lpstr>Faktisk &amp; Budget</vt:lpstr>
      <vt:lpstr>Hjælpeberegner</vt:lpstr>
      <vt:lpstr>Efterposteringsark</vt:lpstr>
      <vt:lpstr>Egne notater</vt:lpstr>
      <vt:lpstr>OM LÅS</vt:lpstr>
      <vt:lpstr>Balance!Udskriftsområde</vt:lpstr>
      <vt:lpstr>Basisoplysninger!Udskriftsområde</vt:lpstr>
      <vt:lpstr>Efterposteringsark!Udskriftsområde</vt:lpstr>
      <vt:lpstr>'Egne notater'!Udskriftsområde</vt:lpstr>
      <vt:lpstr>'Faktisk &amp; Budget'!Udskriftsområde</vt:lpstr>
      <vt:lpstr>Forside!Udskriftsområde</vt:lpstr>
      <vt:lpstr>Hjælpeberegner!Udskriftsområde</vt:lpstr>
      <vt:lpstr>Indhold!Udskriftsområde</vt:lpstr>
      <vt:lpstr>'Noter balance'!Udskriftsområde</vt:lpstr>
      <vt:lpstr>'Noter resultat'!Udskriftsområde</vt:lpstr>
      <vt:lpstr>Påtegning!Udskriftsområde</vt:lpstr>
      <vt:lpstr>Regnskabspraksis!Udskriftsområde</vt:lpstr>
      <vt:lpstr>Resultat!Udskriftsområde</vt:lpstr>
      <vt:lpstr>Vejledning!Udskriftsområde</vt:lpstr>
      <vt:lpstr>'Faktisk &amp; Budget'!Udskriftstitler</vt:lpstr>
      <vt:lpstr>'Noter balance'!Udskriftstitler</vt:lpstr>
      <vt:lpstr>'Noter resultat'!Udskriftstitler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Ursula</dc:creator>
  <cp:keywords/>
  <dc:description/>
  <cp:lastModifiedBy>Ivan Froggaard</cp:lastModifiedBy>
  <cp:revision/>
  <cp:lastPrinted>2025-09-22T11:56:36Z</cp:lastPrinted>
  <dcterms:created xsi:type="dcterms:W3CDTF">2011-04-07T18:48:14Z</dcterms:created>
  <dcterms:modified xsi:type="dcterms:W3CDTF">2026-02-02T15:05:32Z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0x01010036FE116E53422645A751F90C364B7B02</vt:lpwstr>
  </property>
  <property fmtid="{D5CDD505-2E9C-101B-9397-08002B2CF9AE}" pid="3" name="Order">
    <vt:r8>4552600</vt:r8>
  </property>
  <property fmtid="{D5CDD505-2E9C-101B-9397-08002B2CF9AE}" pid="4" name="MediaServiceImageTags">
    <vt:lpwstr/>
  </property>
</Properties>
</file>